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20" windowHeight="8310" activeTab="0"/>
  </bookViews>
  <sheets>
    <sheet name="VEL-LECT" sheetId="1" r:id="rId1"/>
    <sheet name="DV-IDENTITY-0" sheetId="2" state="veryHidden" r:id="rId2"/>
  </sheets>
  <definedNames>
    <definedName name="_xlnm.Print_Area" localSheetId="0">'VEL-LECT'!$A$1:$L$54</definedName>
  </definedNames>
  <calcPr fullCalcOnLoad="1"/>
</workbook>
</file>

<file path=xl/comments1.xml><?xml version="1.0" encoding="utf-8"?>
<comments xmlns="http://schemas.openxmlformats.org/spreadsheetml/2006/main">
  <authors>
    <author>Rodrigo Soto Medina</author>
  </authors>
  <commentList>
    <comment ref="C2" authorId="0">
      <text>
        <r>
          <rPr>
            <b/>
            <sz val="8"/>
            <rFont val="Tahoma"/>
            <family val="2"/>
          </rPr>
          <t>Rodrigo Soto Medina:</t>
        </r>
        <r>
          <rPr>
            <sz val="8"/>
            <rFont val="Tahoma"/>
            <family val="2"/>
          </rPr>
          <t xml:space="preserve">
SELECCIONA AQUÍ DE LA LISTA DESPLEGABLE EL NIVEL A EVALUAR
</t>
        </r>
      </text>
    </comment>
  </commentList>
</comments>
</file>

<file path=xl/sharedStrings.xml><?xml version="1.0" encoding="utf-8"?>
<sst xmlns="http://schemas.openxmlformats.org/spreadsheetml/2006/main" count="48" uniqueCount="33">
  <si>
    <t>NOMINA DE ALUMNOS</t>
  </si>
  <si>
    <t>CANT. PALABRAS</t>
  </si>
  <si>
    <t>1º</t>
  </si>
  <si>
    <t>2º</t>
  </si>
  <si>
    <t>3º</t>
  </si>
  <si>
    <t>4º</t>
  </si>
  <si>
    <t>5º</t>
  </si>
  <si>
    <t>6º</t>
  </si>
  <si>
    <t>7º</t>
  </si>
  <si>
    <t>8º</t>
  </si>
  <si>
    <t>Muy Lenta</t>
  </si>
  <si>
    <t>Lenta</t>
  </si>
  <si>
    <t>Media Baja</t>
  </si>
  <si>
    <t>Media Alta</t>
  </si>
  <si>
    <t>Rápida</t>
  </si>
  <si>
    <t>Muy Rápida</t>
  </si>
  <si>
    <t>CURSO:</t>
  </si>
  <si>
    <t>1 A 8</t>
  </si>
  <si>
    <t>5 A 8</t>
  </si>
  <si>
    <t>VELOCIDAD LECTORA</t>
  </si>
  <si>
    <t>NIVEL LECTOR</t>
  </si>
  <si>
    <t>Resultados  Velocidad Lectora</t>
  </si>
  <si>
    <t>TABLA</t>
  </si>
  <si>
    <t>INICIAL</t>
  </si>
  <si>
    <t>INTERMEDIO</t>
  </si>
  <si>
    <t>AVANZADO</t>
  </si>
  <si>
    <t xml:space="preserve"> NIVEL GENERAL :</t>
  </si>
  <si>
    <t>VELOCIDAD PROMEDIO</t>
  </si>
  <si>
    <t>PALABRAS    PROMEDIO</t>
  </si>
  <si>
    <t>AAAAAFd39lA=</t>
  </si>
  <si>
    <t>AAAAAFd39lE=</t>
  </si>
  <si>
    <t>AÑO A</t>
  </si>
  <si>
    <t>"Avanzando juntos en la ruta de la excelencia académica"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</si>
</sst>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0.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24"/>
      <color indexed="8"/>
      <name val="Arial Black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24"/>
      <color theme="1"/>
      <name val="Arial Black"/>
      <family val="2"/>
    </font>
    <font>
      <b/>
      <sz val="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vertical="center"/>
    </xf>
    <xf numFmtId="0" fontId="45" fillId="2" borderId="10" xfId="15" applyFont="1" applyBorder="1" applyAlignment="1">
      <alignment horizontal="center" vertical="center"/>
    </xf>
    <xf numFmtId="0" fontId="45" fillId="2" borderId="11" xfId="15" applyFont="1" applyBorder="1" applyAlignment="1">
      <alignment horizontal="center" vertical="center"/>
    </xf>
    <xf numFmtId="0" fontId="45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45" fillId="33" borderId="0" xfId="0" applyFont="1" applyFill="1" applyAlignment="1">
      <alignment/>
    </xf>
    <xf numFmtId="0" fontId="0" fillId="0" borderId="0" xfId="0" applyFill="1" applyBorder="1" applyAlignment="1">
      <alignment horizontal="center" vertical="center" shrinkToFit="1"/>
    </xf>
    <xf numFmtId="0" fontId="0" fillId="2" borderId="0" xfId="15" applyAlignment="1">
      <alignment/>
    </xf>
    <xf numFmtId="0" fontId="46" fillId="0" borderId="0" xfId="0" applyFont="1" applyAlignment="1">
      <alignment/>
    </xf>
    <xf numFmtId="0" fontId="0" fillId="33" borderId="17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 shrinkToFit="1"/>
    </xf>
    <xf numFmtId="0" fontId="0" fillId="33" borderId="21" xfId="0" applyFill="1" applyBorder="1" applyAlignment="1">
      <alignment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8" fillId="0" borderId="14" xfId="0" applyFont="1" applyBorder="1" applyAlignment="1">
      <alignment horizontal="left" vertical="center"/>
    </xf>
    <xf numFmtId="0" fontId="48" fillId="0" borderId="18" xfId="0" applyFont="1" applyBorder="1" applyAlignment="1">
      <alignment horizontal="left" vertical="center"/>
    </xf>
    <xf numFmtId="0" fontId="48" fillId="0" borderId="24" xfId="0" applyFont="1" applyBorder="1" applyAlignment="1">
      <alignment horizontal="left" vertical="center"/>
    </xf>
    <xf numFmtId="0" fontId="48" fillId="0" borderId="25" xfId="0" applyFont="1" applyBorder="1" applyAlignment="1">
      <alignment horizontal="left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50" fillId="0" borderId="14" xfId="0" applyFont="1" applyBorder="1" applyAlignment="1">
      <alignment horizontal="center" wrapText="1"/>
    </xf>
    <xf numFmtId="0" fontId="50" fillId="0" borderId="24" xfId="0" applyFont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50" fillId="0" borderId="25" xfId="0" applyFont="1" applyBorder="1" applyAlignment="1">
      <alignment horizontal="center" wrapText="1"/>
    </xf>
    <xf numFmtId="0" fontId="0" fillId="0" borderId="2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33" borderId="21" xfId="0" applyFill="1" applyBorder="1" applyAlignment="1">
      <alignment horizontal="left"/>
    </xf>
    <xf numFmtId="0" fontId="0" fillId="33" borderId="32" xfId="0" applyFill="1" applyBorder="1" applyAlignment="1">
      <alignment horizontal="left"/>
    </xf>
    <xf numFmtId="0" fontId="0" fillId="33" borderId="33" xfId="0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75"/>
          <c:y val="0.176"/>
          <c:w val="0.66575"/>
          <c:h val="0.7775"/>
        </c:manualLayout>
      </c:layout>
      <c:pie3DChart>
        <c:varyColors val="1"/>
        <c:ser>
          <c:idx val="0"/>
          <c:order val="0"/>
          <c:tx>
            <c:v>VELOCIDAD LECTORA</c:v>
          </c:tx>
          <c:spPr>
            <a:solidFill>
              <a:srgbClr val="616161"/>
            </a:solidFill>
            <a:ln w="3175">
              <a:solidFill>
                <a:srgbClr val="333333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D9D9D9"/>
              </a:solidFill>
              <a:ln w="3175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7F7F7F"/>
              </a:solidFill>
              <a:ln w="3175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595959"/>
              </a:solidFill>
              <a:ln w="3175">
                <a:solidFill>
                  <a:srgbClr val="333333"/>
                </a:solidFill>
              </a:ln>
            </c:spPr>
          </c:dPt>
          <c:dPt>
            <c:idx val="5"/>
            <c:explosion val="10"/>
            <c:spPr>
              <a:solidFill>
                <a:srgbClr val="262626"/>
              </a:solidFill>
              <a:ln w="3175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'VEL-LECT'!$B$56:$B$61</c:f>
            </c:strRef>
          </c:cat>
          <c:val>
            <c:numRef>
              <c:f>'VEL-LECT'!$D$56:$D$61</c:f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05"/>
          <c:y val="0.37575"/>
          <c:w val="0.2795"/>
          <c:h val="0.5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NIVEL DE LECTURA</a:t>
            </a:r>
          </a:p>
        </c:rich>
      </c:tx>
      <c:layout>
        <c:manualLayout>
          <c:xMode val="factor"/>
          <c:yMode val="factor"/>
          <c:x val="-0.00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5"/>
          <c:y val="0.11425"/>
          <c:w val="0.4515"/>
          <c:h val="0.789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'VEL-LECT'!$E$56</c:f>
              <c:strCache>
                <c:ptCount val="1"/>
                <c:pt idx="0">
                  <c:v>INICIAL</c:v>
                </c:pt>
              </c:strCache>
            </c:strRef>
          </c:tx>
          <c:spPr>
            <a:solidFill>
              <a:srgbClr val="595959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NIVEL DE LECTURA</c:v>
              </c:pt>
            </c:strLit>
          </c:cat>
          <c:val>
            <c:numRef>
              <c:f>'VEL-LECT'!$F$56:$G$56</c:f>
            </c:numRef>
          </c:val>
        </c:ser>
        <c:ser>
          <c:idx val="1"/>
          <c:order val="1"/>
          <c:tx>
            <c:strRef>
              <c:f>'VEL-LECT'!$E$57</c:f>
              <c:strCache>
                <c:ptCount val="1"/>
                <c:pt idx="0">
                  <c:v>INTERMEDIO</c:v>
                </c:pt>
              </c:strCache>
            </c:strRef>
          </c:tx>
          <c:spPr>
            <a:gradFill rotWithShape="1">
              <a:gsLst>
                <a:gs pos="0">
                  <a:srgbClr val="BCBCBC"/>
                </a:gs>
                <a:gs pos="35001">
                  <a:srgbClr val="D0D0D0"/>
                </a:gs>
                <a:gs pos="100000">
                  <a:srgbClr val="EDEDED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NIVEL DE LECTURA</c:v>
              </c:pt>
            </c:strLit>
          </c:cat>
          <c:val>
            <c:numRef>
              <c:f>'VEL-LECT'!$F$57:$G$57</c:f>
            </c:numRef>
          </c:val>
        </c:ser>
        <c:ser>
          <c:idx val="2"/>
          <c:order val="2"/>
          <c:tx>
            <c:strRef>
              <c:f>'VEL-LECT'!$E$58</c:f>
              <c:strCache>
                <c:ptCount val="1"/>
                <c:pt idx="0">
                  <c:v>AVANZADO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NIVEL DE LECTURA</c:v>
              </c:pt>
            </c:strLit>
          </c:cat>
          <c:val>
            <c:numRef>
              <c:f>'VEL-LECT'!$F$58:$G$58</c:f>
            </c:numRef>
          </c:val>
        </c:ser>
        <c:overlap val="100"/>
        <c:gapWidth val="0"/>
        <c:axId val="52806786"/>
        <c:axId val="5499027"/>
      </c:barChart>
      <c:catAx>
        <c:axId val="52806786"/>
        <c:scaling>
          <c:orientation val="minMax"/>
        </c:scaling>
        <c:axPos val="b"/>
        <c:delete val="1"/>
        <c:majorTickMark val="out"/>
        <c:minorTickMark val="none"/>
        <c:tickLblPos val="nextTo"/>
        <c:crossAx val="5499027"/>
        <c:crosses val="autoZero"/>
        <c:auto val="1"/>
        <c:lblOffset val="100"/>
        <c:tickLblSkip val="1"/>
        <c:noMultiLvlLbl val="0"/>
      </c:catAx>
      <c:valAx>
        <c:axId val="54990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806786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3075"/>
          <c:y val="0.12775"/>
          <c:w val="0.46925"/>
          <c:h val="0.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b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e8omnDOnCBRlmgQOccAF3u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b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xHVw9fGCyv961CK1jQYjZA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4</xdr:row>
      <xdr:rowOff>38100</xdr:rowOff>
    </xdr:from>
    <xdr:to>
      <xdr:col>11</xdr:col>
      <xdr:colOff>695325</xdr:colOff>
      <xdr:row>21</xdr:row>
      <xdr:rowOff>47625</xdr:rowOff>
    </xdr:to>
    <xdr:graphicFrame>
      <xdr:nvGraphicFramePr>
        <xdr:cNvPr id="1" name="1 Gráfico"/>
        <xdr:cNvGraphicFramePr/>
      </xdr:nvGraphicFramePr>
      <xdr:xfrm>
        <a:off x="6076950" y="1066800"/>
        <a:ext cx="40290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95250</xdr:colOff>
      <xdr:row>21</xdr:row>
      <xdr:rowOff>76200</xdr:rowOff>
    </xdr:from>
    <xdr:to>
      <xdr:col>11</xdr:col>
      <xdr:colOff>685800</xdr:colOff>
      <xdr:row>41</xdr:row>
      <xdr:rowOff>76200</xdr:rowOff>
    </xdr:to>
    <xdr:graphicFrame>
      <xdr:nvGraphicFramePr>
        <xdr:cNvPr id="2" name="2 Gráfico"/>
        <xdr:cNvGraphicFramePr/>
      </xdr:nvGraphicFramePr>
      <xdr:xfrm>
        <a:off x="6057900" y="4343400"/>
        <a:ext cx="403860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AP3:AW9" totalsRowShown="0">
  <autoFilter ref="AP3:AW9"/>
  <tableColumns count="8">
    <tableColumn id="1" name="1º"/>
    <tableColumn id="2" name="2º"/>
    <tableColumn id="3" name="3º"/>
    <tableColumn id="4" name="4º"/>
    <tableColumn id="5" name="5º"/>
    <tableColumn id="6" name="6º"/>
    <tableColumn id="7" name="7º"/>
    <tableColumn id="8" name="8º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3.x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1.bin" /><Relationship Id="rId7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2"/>
  <sheetViews>
    <sheetView tabSelected="1" zoomScale="90" zoomScaleNormal="90" zoomScaleSheetLayoutView="25" zoomScalePageLayoutView="0" workbookViewId="0" topLeftCell="A1">
      <pane xSplit="7" ySplit="4" topLeftCell="H36" activePane="bottomRight" state="frozen"/>
      <selection pane="topLeft" activeCell="A1" sqref="A1"/>
      <selection pane="topRight" activeCell="H1" sqref="H1"/>
      <selection pane="bottomLeft" activeCell="A5" sqref="A5"/>
      <selection pane="bottomRight" activeCell="B11" sqref="B11:D11"/>
    </sheetView>
  </sheetViews>
  <sheetFormatPr defaultColWidth="0" defaultRowHeight="15" zeroHeight="1"/>
  <cols>
    <col min="1" max="1" width="5.00390625" style="0" customWidth="1"/>
    <col min="2" max="2" width="9.421875" style="0" customWidth="1"/>
    <col min="3" max="3" width="11.140625" style="0" customWidth="1"/>
    <col min="4" max="4" width="27.57421875" style="0" customWidth="1"/>
    <col min="5" max="5" width="11.421875" style="0" customWidth="1"/>
    <col min="6" max="6" width="13.421875" style="0" bestFit="1" customWidth="1"/>
    <col min="7" max="7" width="11.421875" style="0" customWidth="1"/>
    <col min="8" max="9" width="14.421875" style="0" customWidth="1"/>
    <col min="10" max="11" width="11.421875" style="0" customWidth="1"/>
    <col min="12" max="12" width="10.421875" style="0" customWidth="1"/>
    <col min="13" max="19" width="11.421875" style="0" hidden="1" customWidth="1"/>
    <col min="20" max="20" width="6.00390625" style="0" hidden="1" customWidth="1"/>
    <col min="21" max="24" width="4.8515625" style="0" hidden="1" customWidth="1"/>
    <col min="25" max="25" width="4.421875" style="0" hidden="1" customWidth="1"/>
    <col min="26" max="27" width="4.8515625" style="0" hidden="1" customWidth="1"/>
    <col min="28" max="29" width="5.57421875" style="0" hidden="1" customWidth="1"/>
    <col min="30" max="40" width="11.421875" style="0" hidden="1" customWidth="1"/>
    <col min="41" max="41" width="14.421875" style="0" customWidth="1"/>
    <col min="42" max="49" width="8.00390625" style="0" customWidth="1"/>
    <col min="50" max="16384" width="0" style="0" hidden="1" customWidth="1"/>
  </cols>
  <sheetData>
    <row r="1" spans="1:49" ht="33" customHeight="1">
      <c r="A1" s="42" t="s">
        <v>21</v>
      </c>
      <c r="B1" s="42"/>
      <c r="C1" s="42"/>
      <c r="D1" s="42"/>
      <c r="E1" s="42"/>
      <c r="F1" s="42"/>
      <c r="G1" s="42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43" t="s">
        <v>22</v>
      </c>
      <c r="AQ1" s="43"/>
      <c r="AR1" s="43"/>
      <c r="AS1" s="43"/>
      <c r="AT1" s="43"/>
      <c r="AU1" s="43"/>
      <c r="AV1" s="43"/>
      <c r="AW1" s="43"/>
    </row>
    <row r="2" spans="2:4" ht="15.75" thickBot="1">
      <c r="B2" s="6" t="s">
        <v>16</v>
      </c>
      <c r="C2" s="20" t="s">
        <v>2</v>
      </c>
      <c r="D2" t="s">
        <v>31</v>
      </c>
    </row>
    <row r="3" spans="1:49" ht="15">
      <c r="A3" s="8"/>
      <c r="B3" s="8"/>
      <c r="C3" s="9"/>
      <c r="D3" s="13"/>
      <c r="E3" s="50" t="s">
        <v>1</v>
      </c>
      <c r="F3" s="50" t="s">
        <v>19</v>
      </c>
      <c r="G3" s="52" t="s">
        <v>20</v>
      </c>
      <c r="AO3" s="1"/>
      <c r="AP3" t="s">
        <v>2</v>
      </c>
      <c r="AQ3" t="s">
        <v>3</v>
      </c>
      <c r="AR3" t="s">
        <v>4</v>
      </c>
      <c r="AS3" t="s">
        <v>5</v>
      </c>
      <c r="AT3" t="s">
        <v>6</v>
      </c>
      <c r="AU3" t="s">
        <v>7</v>
      </c>
      <c r="AV3" t="s">
        <v>8</v>
      </c>
      <c r="AW3" t="s">
        <v>9</v>
      </c>
    </row>
    <row r="4" spans="1:49" ht="17.25" customHeight="1" thickBot="1">
      <c r="A4" s="10"/>
      <c r="B4" s="60" t="s">
        <v>0</v>
      </c>
      <c r="C4" s="61"/>
      <c r="D4" s="62"/>
      <c r="E4" s="51"/>
      <c r="F4" s="51"/>
      <c r="G4" s="53"/>
      <c r="T4" s="2" t="s">
        <v>17</v>
      </c>
      <c r="U4" s="2" t="s">
        <v>18</v>
      </c>
      <c r="V4" t="s">
        <v>2</v>
      </c>
      <c r="W4" t="s">
        <v>3</v>
      </c>
      <c r="X4" t="s">
        <v>4</v>
      </c>
      <c r="Y4" t="s">
        <v>5</v>
      </c>
      <c r="Z4" t="s">
        <v>6</v>
      </c>
      <c r="AA4" t="s">
        <v>7</v>
      </c>
      <c r="AB4" t="s">
        <v>8</v>
      </c>
      <c r="AC4" t="s">
        <v>9</v>
      </c>
      <c r="AO4" t="s">
        <v>10</v>
      </c>
      <c r="AP4" s="4">
        <v>21</v>
      </c>
      <c r="AQ4" s="4">
        <v>42</v>
      </c>
      <c r="AR4" s="4">
        <v>63</v>
      </c>
      <c r="AS4" s="4">
        <v>84</v>
      </c>
      <c r="AT4" s="4">
        <v>103</v>
      </c>
      <c r="AU4" s="4">
        <v>124</v>
      </c>
      <c r="AV4" s="4">
        <v>134</v>
      </c>
      <c r="AW4" s="4">
        <v>134</v>
      </c>
    </row>
    <row r="5" spans="1:49" ht="15">
      <c r="A5" s="14">
        <v>1</v>
      </c>
      <c r="B5" s="63"/>
      <c r="C5" s="64"/>
      <c r="D5" s="65"/>
      <c r="E5" s="11"/>
      <c r="F5" s="7">
        <f>IF(E5="","",IF(SUM(T5:U5)=1,$AO$4,IF(SUM(T5:U5)=2,$AO$5,IF(SUM(T5:U5)=3,$AO$6,IF(SUM(T5:U5)=4,$AO$7,IF(SUM(T5:U5)=5,$AO$8,IF(SUM(T5:U5)=6,$AO$9,0)))))))</f>
      </c>
      <c r="G5" s="15">
        <f>IF(F5="","",IF(SUM(T5:U5)&lt;=2,"INICIAL",IF(SUM(T5:U5)&lt;=4,"INTERMEDIO",IF(SUM(T5:U5)&gt;4,"AVANZADO"))))</f>
      </c>
      <c r="T5">
        <f>IF($C$2="1º",V5,IF($C$2="2º",W5,IF($C$2="3º",X5,IF($C$2="4º",Y5,0))))</f>
        <v>1</v>
      </c>
      <c r="U5">
        <f>IF($C$2="5º",Z5,IF($C$2="6º",AA5,IF($C$2="7º",AB5,IF($C$2="8º",AC5,0))))</f>
        <v>0</v>
      </c>
      <c r="V5">
        <f>IF(AND($E5&gt;=0,$E5&lt;=($AP$4)),1,IF(AND($E5&gt;$AP$4,$E5&lt;=($AP$5)),2,IF(AND($E5&gt;$AP$5,$E5&lt;=$AP$6),3,IF(AND($E5&gt;$AP$6,$E5&lt;=$AP$7),4,IF(AND($E5&gt;=$AP$7,$E5&lt;=$AP$8),5,IF($E5&gt;$AP$8,6))))))</f>
        <v>1</v>
      </c>
      <c r="W5">
        <f>IF(AND($E5&gt;=0,$E5&lt;=($AQ$4)),1,IF(AND($E5&gt;$AQ$4,$E5&lt;=($AQ$5)),2,IF(AND($E5&gt;$AQ$5,$E5&lt;=$AQ$6),3,IF(AND($E5&gt;$AQ$6,$E5&lt;=$AQ$7),4,IF(AND($E5&gt;=$AQ$7,$E5&lt;=$AQ$8),5,IF($E5&gt;$AQ$8,6))))))</f>
        <v>1</v>
      </c>
      <c r="X5">
        <f>IF(AND($E5&gt;=0,$E5&lt;=($AR$4)),1,IF(AND($E5&gt;$AR$4,$E5&lt;=($AR$5)),2,IF(AND($E5&gt;$AR$5,$E5&lt;=$AR$6),3,IF(AND($E5&gt;$AR$6,$E5&lt;=$AR$7),4,IF(AND($E5&gt;=$AR$7,$E5&lt;=$AR$8),5,IF($E5&gt;$AR$8,6))))))</f>
        <v>1</v>
      </c>
      <c r="Y5">
        <f>IF(AND($E5&gt;=0,$E5&lt;=($AS$4)),1,IF(AND($E5&gt;$AS$4,$E5&lt;=($AS$5)),2,IF(AND($E5&gt;$AS$5,$E5&lt;=$AS$6),3,IF(AND($E5&gt;$AS$6,$E5&lt;=$AS$7),4,IF(AND($E5&gt;=$AS$7,$E5&lt;=$AS$8),5,IF($E5&gt;$AS$8,6))))))</f>
        <v>1</v>
      </c>
      <c r="Z5">
        <f>IF(AND($E5&gt;=0,$E5&lt;=($AT$4)),1,IF(AND($E5&gt;$AT$4,$E5&lt;=($AT$5)),2,IF(AND($E5&gt;$AT$5,$E5&lt;=$AT$6),3,IF(AND($E5&gt;$AT$6,$E5&lt;=$AT$7),4,IF(AND($E5&gt;=$AT$7,$E5&lt;=$AT$8),5,IF($E5&gt;$AT$8,6))))))</f>
        <v>1</v>
      </c>
      <c r="AA5">
        <f>IF(AND($E5&gt;=0,$E5&lt;=($AU$4)),1,IF(AND($E5&gt;$AU$4,$E5&lt;=($AU$5)),2,IF(AND($E5&gt;$AU$5,$E5&lt;=$AU$6),3,IF(AND($E5&gt;$AU$6,$E5&lt;=$AU$7),4,IF(AND($E5&gt;=$AU$7,$E5&lt;=$AU$8),5,IF($E5&gt;$AU$8,6))))))</f>
        <v>1</v>
      </c>
      <c r="AB5">
        <f>IF(AND($E5&gt;=0,$E5&lt;=($AV$4)),1,IF(AND($E5&gt;$AV$4,$E5&lt;=($AV$5)),2,IF(AND($E5&gt;$AV$5,$E5&lt;=$AV$6),3,IF(AND($E5&gt;$AV$6,$E5&lt;=$AV$7),4,IF(AND($E5&gt;=$AV$7,$E5&lt;=$AV$8),5,IF($E5&gt;$AV$8,6))))))</f>
        <v>1</v>
      </c>
      <c r="AC5">
        <f>IF(AND($E5&gt;=0,$E5&lt;=($AV$4)),1,IF(AND($E5&gt;$AV$4,$E5&lt;=($AV$5)),2,IF(AND($E5&gt;$AV$5,$E5&lt;=$AV$6),3,IF(AND($E5&gt;$AV$6,$E5&lt;=$AV$7),4,IF(AND($E5&gt;=$AV$7,$E5&lt;=$AV$8),5,IF($E5&gt;$AV$8,6))))))</f>
        <v>1</v>
      </c>
      <c r="AO5" t="s">
        <v>11</v>
      </c>
      <c r="AP5" s="4">
        <v>28</v>
      </c>
      <c r="AQ5" s="4">
        <v>53</v>
      </c>
      <c r="AR5" s="4">
        <v>75</v>
      </c>
      <c r="AS5" s="4">
        <v>96</v>
      </c>
      <c r="AT5" s="4">
        <v>119</v>
      </c>
      <c r="AU5" s="4">
        <v>142</v>
      </c>
      <c r="AV5" s="4">
        <v>153</v>
      </c>
      <c r="AW5" s="4">
        <v>153</v>
      </c>
    </row>
    <row r="6" spans="1:49" ht="15">
      <c r="A6" s="16">
        <f>A5+1</f>
        <v>2</v>
      </c>
      <c r="B6" s="54"/>
      <c r="C6" s="55"/>
      <c r="D6" s="56"/>
      <c r="E6" s="12"/>
      <c r="F6" s="7">
        <f aca="true" t="shared" si="0" ref="F6:F53">IF(E6="","",IF(SUM(T6:U6)=1,$AO$4,IF(SUM(T6:U6)=2,$AO$5,IF(SUM(T6:U6)=3,$AO$6,IF(SUM(T6:U6)=4,$AO$7,IF(SUM(T6:U6)=5,$AO$8,IF(SUM(T6:U6)=6,$AO$9,0)))))))</f>
      </c>
      <c r="G6" s="15">
        <f aca="true" t="shared" si="1" ref="G6:G53">IF(F6="","",IF(SUM(T6:U6)&lt;=2,"INICIAL",IF(SUM(T6:U6)&lt;=4,"INTERMEDIO",IF(SUM(T6:U6)&gt;4,"AVANZADO"))))</f>
      </c>
      <c r="T6">
        <f aca="true" t="shared" si="2" ref="T6:T54">IF($C$2="1º",V6,IF($C$2="2º",W6,IF($C$2="3º",X6,IF($C$2="4º",Y6,0))))</f>
        <v>1</v>
      </c>
      <c r="U6">
        <f aca="true" t="shared" si="3" ref="U6:U54">IF($C$2="5º",Z6,IF($C$2="6º",AA6,IF(OR($C$2="7º",$C$2="8º"),AB6,0)))</f>
        <v>0</v>
      </c>
      <c r="V6">
        <f aca="true" t="shared" si="4" ref="V6:V53">IF(AND($E6&gt;=0,$E6&lt;=($AP$4)),1,IF(AND($E6&gt;$AP$4,$E6&lt;=($AP$5)),2,IF(AND($E6&gt;$AP$5,$E6&lt;=$AP$6),3,IF(AND($E6&gt;$AP$6,$E6&lt;=$AP$7),4,IF(AND($E6&gt;=$AP$7,$E6&lt;=$AP$8),5,IF($E6&gt;$AP$8,6))))))</f>
        <v>1</v>
      </c>
      <c r="W6">
        <f aca="true" t="shared" si="5" ref="W6:W53">IF(AND($E6&gt;=0,$E6&lt;=($AQ$4)),1,IF(AND($E6&gt;$AQ$4,$E6&lt;=($AQ$5)),2,IF(AND($E6&gt;$AQ$5,$E6&lt;=$AQ$6),3,IF(AND($E6&gt;$AQ$6,$E6&lt;=$AQ$7),4,IF(AND($E6&gt;=$AQ$7,$E6&lt;=$AQ$8),5,IF($E6&gt;$AQ$8,6))))))</f>
        <v>1</v>
      </c>
      <c r="X6">
        <f aca="true" t="shared" si="6" ref="X6:X53">IF(AND($E6&gt;=0,$E6&lt;=($AR$4)),1,IF(AND($E6&gt;$AR$4,$E6&lt;=($AR$5)),2,IF(AND($E6&gt;$AR$5,$E6&lt;=$AR$6),3,IF(AND($E6&gt;$AR$6,$E6&lt;=$AR$7),4,IF(AND($E6&gt;=$AR$7,$E6&lt;=$AR$8),5,IF($E6&gt;$AR$8,6))))))</f>
        <v>1</v>
      </c>
      <c r="Y6">
        <f aca="true" t="shared" si="7" ref="Y6:Y53">IF(AND($E6&gt;=0,$E6&lt;=($AS$4)),1,IF(AND($E6&gt;$AS$4,$E6&lt;=($AS$5)),2,IF(AND($E6&gt;$AS$5,$E6&lt;=$AS$6),3,IF(AND($E6&gt;$AS$6,$E6&lt;=$AS$7),4,IF(AND($E6&gt;=$AS$7,$E6&lt;=$AS$8),5,IF($E6&gt;$AS$8,6))))))</f>
        <v>1</v>
      </c>
      <c r="Z6">
        <f aca="true" t="shared" si="8" ref="Z6:Z53">IF(AND($E6&gt;=0,$E6&lt;=($AT$4)),1,IF(AND($E6&gt;$AT$4,$E6&lt;=($AT$5)),2,IF(AND($E6&gt;$AT$5,$E6&lt;=$AT$6),3,IF(AND($E6&gt;$AT$6,$E6&lt;=$AT$7),4,IF(AND($E6&gt;=$AT$7,$E6&lt;=$AT$8),5,IF($E6&gt;$AT$8,6))))))</f>
        <v>1</v>
      </c>
      <c r="AA6">
        <f aca="true" t="shared" si="9" ref="AA6:AA53">IF(AND($E6&gt;=0,$E6&lt;=($AU$4)),1,IF(AND($E6&gt;$AU$4,$E6&lt;=($AU$5)),2,IF(AND($E6&gt;$AU$5,$E6&lt;=$AU$6),3,IF(AND($E6&gt;$AU$6,$E6&lt;=$AU$7),4,IF(AND($E6&gt;=$AU$7,$E6&lt;=$AU$8),5,IF($E6&gt;$AU$8,6))))))</f>
        <v>1</v>
      </c>
      <c r="AB6">
        <f aca="true" t="shared" si="10" ref="AB6:AC37">IF(AND($E6&gt;=0,$E6&lt;=($AV$4)),1,IF(AND($E6&gt;$AV$4,$E6&lt;=($AV$5)),2,IF(AND($E6&gt;$AV$5,$E6&lt;=$AV$6),3,IF(AND($E6&gt;$AV$6,$E6&lt;=$AV$7),4,IF(AND($E6&gt;=$AV$7,$E6&lt;=$AV$8),5,IF($E6&gt;$AV$8,6))))))</f>
        <v>1</v>
      </c>
      <c r="AC6">
        <f t="shared" si="10"/>
        <v>1</v>
      </c>
      <c r="AO6" t="s">
        <v>12</v>
      </c>
      <c r="AP6" s="4">
        <v>37</v>
      </c>
      <c r="AQ6" s="4">
        <v>63</v>
      </c>
      <c r="AR6" s="4">
        <v>87</v>
      </c>
      <c r="AS6" s="4">
        <v>110</v>
      </c>
      <c r="AT6" s="4">
        <v>135</v>
      </c>
      <c r="AU6" s="4">
        <v>160</v>
      </c>
      <c r="AV6" s="4">
        <v>173</v>
      </c>
      <c r="AW6" s="4">
        <v>173</v>
      </c>
    </row>
    <row r="7" spans="1:49" ht="15">
      <c r="A7" s="16">
        <f aca="true" t="shared" si="11" ref="A7:A53">A6+1</f>
        <v>3</v>
      </c>
      <c r="B7" s="54"/>
      <c r="C7" s="55"/>
      <c r="D7" s="56"/>
      <c r="E7" s="12"/>
      <c r="F7" s="7">
        <f t="shared" si="0"/>
      </c>
      <c r="G7" s="15">
        <f t="shared" si="1"/>
      </c>
      <c r="T7">
        <f t="shared" si="2"/>
        <v>1</v>
      </c>
      <c r="U7">
        <f t="shared" si="3"/>
        <v>0</v>
      </c>
      <c r="V7">
        <f t="shared" si="4"/>
        <v>1</v>
      </c>
      <c r="W7">
        <f t="shared" si="5"/>
        <v>1</v>
      </c>
      <c r="X7">
        <f t="shared" si="6"/>
        <v>1</v>
      </c>
      <c r="Y7">
        <f t="shared" si="7"/>
        <v>1</v>
      </c>
      <c r="Z7">
        <f t="shared" si="8"/>
        <v>1</v>
      </c>
      <c r="AA7">
        <f t="shared" si="9"/>
        <v>1</v>
      </c>
      <c r="AB7">
        <f t="shared" si="10"/>
        <v>1</v>
      </c>
      <c r="AC7">
        <f t="shared" si="10"/>
        <v>1</v>
      </c>
      <c r="AO7" t="s">
        <v>13</v>
      </c>
      <c r="AP7" s="4">
        <v>46</v>
      </c>
      <c r="AQ7" s="4">
        <v>73</v>
      </c>
      <c r="AR7" s="4">
        <v>99</v>
      </c>
      <c r="AS7" s="4">
        <v>124</v>
      </c>
      <c r="AT7" s="4">
        <v>149</v>
      </c>
      <c r="AU7" s="4">
        <v>177</v>
      </c>
      <c r="AV7" s="4">
        <v>193</v>
      </c>
      <c r="AW7" s="4">
        <v>193</v>
      </c>
    </row>
    <row r="8" spans="1:49" ht="15">
      <c r="A8" s="16">
        <f t="shared" si="11"/>
        <v>4</v>
      </c>
      <c r="B8" s="54"/>
      <c r="C8" s="55"/>
      <c r="D8" s="56"/>
      <c r="E8" s="12"/>
      <c r="F8" s="7">
        <f t="shared" si="0"/>
      </c>
      <c r="G8" s="15">
        <f t="shared" si="1"/>
      </c>
      <c r="T8">
        <f t="shared" si="2"/>
        <v>1</v>
      </c>
      <c r="U8">
        <f t="shared" si="3"/>
        <v>0</v>
      </c>
      <c r="V8">
        <f t="shared" si="4"/>
        <v>1</v>
      </c>
      <c r="W8">
        <f t="shared" si="5"/>
        <v>1</v>
      </c>
      <c r="X8">
        <f t="shared" si="6"/>
        <v>1</v>
      </c>
      <c r="Y8">
        <f t="shared" si="7"/>
        <v>1</v>
      </c>
      <c r="Z8">
        <f t="shared" si="8"/>
        <v>1</v>
      </c>
      <c r="AA8">
        <f t="shared" si="9"/>
        <v>1</v>
      </c>
      <c r="AB8">
        <f t="shared" si="10"/>
        <v>1</v>
      </c>
      <c r="AC8">
        <f t="shared" si="10"/>
        <v>1</v>
      </c>
      <c r="AO8" t="s">
        <v>14</v>
      </c>
      <c r="AP8" s="4">
        <v>55</v>
      </c>
      <c r="AQ8" s="4">
        <v>83</v>
      </c>
      <c r="AR8" s="4">
        <v>111</v>
      </c>
      <c r="AS8" s="4">
        <v>139</v>
      </c>
      <c r="AT8" s="4">
        <v>167</v>
      </c>
      <c r="AU8" s="4">
        <v>195</v>
      </c>
      <c r="AV8" s="4">
        <v>213</v>
      </c>
      <c r="AW8" s="4">
        <v>213</v>
      </c>
    </row>
    <row r="9" spans="1:49" ht="15">
      <c r="A9" s="16">
        <f t="shared" si="11"/>
        <v>5</v>
      </c>
      <c r="B9" s="54"/>
      <c r="C9" s="55"/>
      <c r="D9" s="56"/>
      <c r="E9" s="12"/>
      <c r="F9" s="7">
        <f t="shared" si="0"/>
      </c>
      <c r="G9" s="15">
        <f t="shared" si="1"/>
      </c>
      <c r="T9">
        <f t="shared" si="2"/>
        <v>1</v>
      </c>
      <c r="U9">
        <f t="shared" si="3"/>
        <v>0</v>
      </c>
      <c r="V9">
        <f t="shared" si="4"/>
        <v>1</v>
      </c>
      <c r="W9">
        <f t="shared" si="5"/>
        <v>1</v>
      </c>
      <c r="X9">
        <f t="shared" si="6"/>
        <v>1</v>
      </c>
      <c r="Y9">
        <f t="shared" si="7"/>
        <v>1</v>
      </c>
      <c r="Z9">
        <f t="shared" si="8"/>
        <v>1</v>
      </c>
      <c r="AA9">
        <f t="shared" si="9"/>
        <v>1</v>
      </c>
      <c r="AB9">
        <f t="shared" si="10"/>
        <v>1</v>
      </c>
      <c r="AC9">
        <f t="shared" si="10"/>
        <v>1</v>
      </c>
      <c r="AO9" t="s">
        <v>15</v>
      </c>
      <c r="AP9" s="5"/>
      <c r="AQ9" s="5"/>
      <c r="AR9" s="5"/>
      <c r="AS9" s="5"/>
      <c r="AT9" s="5"/>
      <c r="AU9" s="5"/>
      <c r="AV9" s="5"/>
      <c r="AW9" s="5"/>
    </row>
    <row r="10" spans="1:29" ht="15">
      <c r="A10" s="16">
        <f t="shared" si="11"/>
        <v>6</v>
      </c>
      <c r="B10" s="54"/>
      <c r="C10" s="55"/>
      <c r="D10" s="56"/>
      <c r="E10" s="12"/>
      <c r="F10" s="7">
        <f t="shared" si="0"/>
      </c>
      <c r="G10" s="15">
        <f t="shared" si="1"/>
      </c>
      <c r="T10">
        <f t="shared" si="2"/>
        <v>1</v>
      </c>
      <c r="U10">
        <f t="shared" si="3"/>
        <v>0</v>
      </c>
      <c r="V10">
        <f t="shared" si="4"/>
        <v>1</v>
      </c>
      <c r="W10">
        <f t="shared" si="5"/>
        <v>1</v>
      </c>
      <c r="X10">
        <f t="shared" si="6"/>
        <v>1</v>
      </c>
      <c r="Y10">
        <f t="shared" si="7"/>
        <v>1</v>
      </c>
      <c r="Z10">
        <f t="shared" si="8"/>
        <v>1</v>
      </c>
      <c r="AA10">
        <f t="shared" si="9"/>
        <v>1</v>
      </c>
      <c r="AB10">
        <f t="shared" si="10"/>
        <v>1</v>
      </c>
      <c r="AC10">
        <f t="shared" si="10"/>
        <v>1</v>
      </c>
    </row>
    <row r="11" spans="1:29" ht="15">
      <c r="A11" s="16">
        <f t="shared" si="11"/>
        <v>7</v>
      </c>
      <c r="B11" s="54"/>
      <c r="C11" s="55"/>
      <c r="D11" s="56"/>
      <c r="E11" s="12"/>
      <c r="F11" s="7">
        <f t="shared" si="0"/>
      </c>
      <c r="G11" s="15">
        <f t="shared" si="1"/>
      </c>
      <c r="T11">
        <f t="shared" si="2"/>
        <v>1</v>
      </c>
      <c r="U11">
        <f t="shared" si="3"/>
        <v>0</v>
      </c>
      <c r="V11">
        <f t="shared" si="4"/>
        <v>1</v>
      </c>
      <c r="W11">
        <f t="shared" si="5"/>
        <v>1</v>
      </c>
      <c r="X11">
        <f t="shared" si="6"/>
        <v>1</v>
      </c>
      <c r="Y11">
        <f t="shared" si="7"/>
        <v>1</v>
      </c>
      <c r="Z11">
        <f t="shared" si="8"/>
        <v>1</v>
      </c>
      <c r="AA11">
        <f t="shared" si="9"/>
        <v>1</v>
      </c>
      <c r="AB11">
        <f t="shared" si="10"/>
        <v>1</v>
      </c>
      <c r="AC11">
        <f t="shared" si="10"/>
        <v>1</v>
      </c>
    </row>
    <row r="12" spans="1:29" ht="15">
      <c r="A12" s="16">
        <f t="shared" si="11"/>
        <v>8</v>
      </c>
      <c r="B12" s="54"/>
      <c r="C12" s="55"/>
      <c r="D12" s="56"/>
      <c r="E12" s="12"/>
      <c r="F12" s="7">
        <f t="shared" si="0"/>
      </c>
      <c r="G12" s="15">
        <f t="shared" si="1"/>
      </c>
      <c r="T12">
        <f t="shared" si="2"/>
        <v>1</v>
      </c>
      <c r="U12">
        <f t="shared" si="3"/>
        <v>0</v>
      </c>
      <c r="V12">
        <f t="shared" si="4"/>
        <v>1</v>
      </c>
      <c r="W12">
        <f t="shared" si="5"/>
        <v>1</v>
      </c>
      <c r="X12">
        <f t="shared" si="6"/>
        <v>1</v>
      </c>
      <c r="Y12">
        <f t="shared" si="7"/>
        <v>1</v>
      </c>
      <c r="Z12">
        <f t="shared" si="8"/>
        <v>1</v>
      </c>
      <c r="AA12">
        <f t="shared" si="9"/>
        <v>1</v>
      </c>
      <c r="AB12">
        <f t="shared" si="10"/>
        <v>1</v>
      </c>
      <c r="AC12">
        <f t="shared" si="10"/>
        <v>1</v>
      </c>
    </row>
    <row r="13" spans="1:29" ht="15">
      <c r="A13" s="16">
        <f t="shared" si="11"/>
        <v>9</v>
      </c>
      <c r="B13" s="54"/>
      <c r="C13" s="55"/>
      <c r="D13" s="56"/>
      <c r="E13" s="12"/>
      <c r="F13" s="7">
        <f t="shared" si="0"/>
      </c>
      <c r="G13" s="15">
        <f t="shared" si="1"/>
      </c>
      <c r="T13">
        <f t="shared" si="2"/>
        <v>1</v>
      </c>
      <c r="U13">
        <f t="shared" si="3"/>
        <v>0</v>
      </c>
      <c r="V13">
        <f t="shared" si="4"/>
        <v>1</v>
      </c>
      <c r="W13">
        <f t="shared" si="5"/>
        <v>1</v>
      </c>
      <c r="X13">
        <f t="shared" si="6"/>
        <v>1</v>
      </c>
      <c r="Y13">
        <f t="shared" si="7"/>
        <v>1</v>
      </c>
      <c r="Z13">
        <f t="shared" si="8"/>
        <v>1</v>
      </c>
      <c r="AA13">
        <f t="shared" si="9"/>
        <v>1</v>
      </c>
      <c r="AB13">
        <f t="shared" si="10"/>
        <v>1</v>
      </c>
      <c r="AC13">
        <f t="shared" si="10"/>
        <v>1</v>
      </c>
    </row>
    <row r="14" spans="1:29" ht="15">
      <c r="A14" s="16">
        <f t="shared" si="11"/>
        <v>10</v>
      </c>
      <c r="B14" s="54"/>
      <c r="C14" s="55"/>
      <c r="D14" s="56"/>
      <c r="E14" s="12"/>
      <c r="F14" s="7">
        <f t="shared" si="0"/>
      </c>
      <c r="G14" s="15">
        <f t="shared" si="1"/>
      </c>
      <c r="T14">
        <f t="shared" si="2"/>
        <v>1</v>
      </c>
      <c r="U14">
        <f t="shared" si="3"/>
        <v>0</v>
      </c>
      <c r="V14">
        <f t="shared" si="4"/>
        <v>1</v>
      </c>
      <c r="W14">
        <f t="shared" si="5"/>
        <v>1</v>
      </c>
      <c r="X14">
        <f t="shared" si="6"/>
        <v>1</v>
      </c>
      <c r="Y14">
        <f t="shared" si="7"/>
        <v>1</v>
      </c>
      <c r="Z14">
        <f t="shared" si="8"/>
        <v>1</v>
      </c>
      <c r="AA14">
        <f t="shared" si="9"/>
        <v>1</v>
      </c>
      <c r="AB14">
        <f t="shared" si="10"/>
        <v>1</v>
      </c>
      <c r="AC14">
        <f t="shared" si="10"/>
        <v>1</v>
      </c>
    </row>
    <row r="15" spans="1:29" ht="15">
      <c r="A15" s="16">
        <f t="shared" si="11"/>
        <v>11</v>
      </c>
      <c r="B15" s="54"/>
      <c r="C15" s="55"/>
      <c r="D15" s="56"/>
      <c r="E15" s="12"/>
      <c r="F15" s="7">
        <f t="shared" si="0"/>
      </c>
      <c r="G15" s="15">
        <f t="shared" si="1"/>
      </c>
      <c r="T15">
        <f t="shared" si="2"/>
        <v>1</v>
      </c>
      <c r="U15">
        <f>IF($C$2="5º",Z15,IF($C$2="6º",AA15,IF(OR($C$2="7º",$C$2="8º"),AB15,0)))</f>
        <v>0</v>
      </c>
      <c r="V15">
        <f t="shared" si="4"/>
        <v>1</v>
      </c>
      <c r="W15">
        <f t="shared" si="5"/>
        <v>1</v>
      </c>
      <c r="X15">
        <f t="shared" si="6"/>
        <v>1</v>
      </c>
      <c r="Y15">
        <f t="shared" si="7"/>
        <v>1</v>
      </c>
      <c r="Z15">
        <f t="shared" si="8"/>
        <v>1</v>
      </c>
      <c r="AA15">
        <f t="shared" si="9"/>
        <v>1</v>
      </c>
      <c r="AB15">
        <f t="shared" si="10"/>
        <v>1</v>
      </c>
      <c r="AC15">
        <f t="shared" si="10"/>
        <v>1</v>
      </c>
    </row>
    <row r="16" spans="1:29" ht="15">
      <c r="A16" s="16">
        <f t="shared" si="11"/>
        <v>12</v>
      </c>
      <c r="B16" s="54"/>
      <c r="C16" s="55"/>
      <c r="D16" s="56"/>
      <c r="E16" s="12"/>
      <c r="F16" s="7">
        <f>IF(E16="","",IF(SUM(T16:U16)=1,$AO$4,IF(SUM(T16:U16)=2,$AO$5,IF(SUM(T16:U16)=3,$AO$6,IF(SUM(T16:U16)=4,$AO$7,IF(SUM(T16:U16)=5,$AO$8,IF(SUM(T16:U16)=6,$AO$9,0)))))))</f>
      </c>
      <c r="G16" s="15">
        <f t="shared" si="1"/>
      </c>
      <c r="T16">
        <f t="shared" si="2"/>
        <v>1</v>
      </c>
      <c r="U16">
        <f t="shared" si="3"/>
        <v>0</v>
      </c>
      <c r="V16">
        <f t="shared" si="4"/>
        <v>1</v>
      </c>
      <c r="W16">
        <f t="shared" si="5"/>
        <v>1</v>
      </c>
      <c r="X16">
        <f t="shared" si="6"/>
        <v>1</v>
      </c>
      <c r="Y16">
        <f t="shared" si="7"/>
        <v>1</v>
      </c>
      <c r="Z16">
        <f t="shared" si="8"/>
        <v>1</v>
      </c>
      <c r="AA16">
        <f t="shared" si="9"/>
        <v>1</v>
      </c>
      <c r="AB16">
        <f t="shared" si="10"/>
        <v>1</v>
      </c>
      <c r="AC16">
        <f t="shared" si="10"/>
        <v>1</v>
      </c>
    </row>
    <row r="17" spans="1:29" ht="15">
      <c r="A17" s="16">
        <f t="shared" si="11"/>
        <v>13</v>
      </c>
      <c r="B17" s="54"/>
      <c r="C17" s="55"/>
      <c r="D17" s="56"/>
      <c r="E17" s="12"/>
      <c r="F17" s="7">
        <f t="shared" si="0"/>
      </c>
      <c r="G17" s="15">
        <f t="shared" si="1"/>
      </c>
      <c r="T17">
        <f t="shared" si="2"/>
        <v>1</v>
      </c>
      <c r="U17">
        <f t="shared" si="3"/>
        <v>0</v>
      </c>
      <c r="V17">
        <f t="shared" si="4"/>
        <v>1</v>
      </c>
      <c r="W17">
        <f t="shared" si="5"/>
        <v>1</v>
      </c>
      <c r="X17">
        <f t="shared" si="6"/>
        <v>1</v>
      </c>
      <c r="Y17">
        <f t="shared" si="7"/>
        <v>1</v>
      </c>
      <c r="Z17">
        <f t="shared" si="8"/>
        <v>1</v>
      </c>
      <c r="AA17">
        <f t="shared" si="9"/>
        <v>1</v>
      </c>
      <c r="AB17">
        <f t="shared" si="10"/>
        <v>1</v>
      </c>
      <c r="AC17">
        <f t="shared" si="10"/>
        <v>1</v>
      </c>
    </row>
    <row r="18" spans="1:29" ht="15">
      <c r="A18" s="16">
        <f t="shared" si="11"/>
        <v>14</v>
      </c>
      <c r="B18" s="54"/>
      <c r="C18" s="55"/>
      <c r="D18" s="56"/>
      <c r="E18" s="12"/>
      <c r="F18" s="7">
        <f t="shared" si="0"/>
      </c>
      <c r="G18" s="15">
        <f t="shared" si="1"/>
      </c>
      <c r="T18">
        <f t="shared" si="2"/>
        <v>1</v>
      </c>
      <c r="U18">
        <f t="shared" si="3"/>
        <v>0</v>
      </c>
      <c r="V18">
        <f t="shared" si="4"/>
        <v>1</v>
      </c>
      <c r="W18">
        <f t="shared" si="5"/>
        <v>1</v>
      </c>
      <c r="X18">
        <f t="shared" si="6"/>
        <v>1</v>
      </c>
      <c r="Y18">
        <f t="shared" si="7"/>
        <v>1</v>
      </c>
      <c r="Z18">
        <f t="shared" si="8"/>
        <v>1</v>
      </c>
      <c r="AA18">
        <f t="shared" si="9"/>
        <v>1</v>
      </c>
      <c r="AB18">
        <f t="shared" si="10"/>
        <v>1</v>
      </c>
      <c r="AC18">
        <f t="shared" si="10"/>
        <v>1</v>
      </c>
    </row>
    <row r="19" spans="1:29" ht="15">
      <c r="A19" s="16">
        <f t="shared" si="11"/>
        <v>15</v>
      </c>
      <c r="B19" s="54"/>
      <c r="C19" s="55"/>
      <c r="D19" s="56"/>
      <c r="E19" s="12"/>
      <c r="F19" s="7">
        <f t="shared" si="0"/>
      </c>
      <c r="G19" s="15">
        <f t="shared" si="1"/>
      </c>
      <c r="T19">
        <f t="shared" si="2"/>
        <v>1</v>
      </c>
      <c r="U19">
        <f t="shared" si="3"/>
        <v>0</v>
      </c>
      <c r="V19">
        <f t="shared" si="4"/>
        <v>1</v>
      </c>
      <c r="W19">
        <f t="shared" si="5"/>
        <v>1</v>
      </c>
      <c r="X19">
        <f t="shared" si="6"/>
        <v>1</v>
      </c>
      <c r="Y19">
        <f t="shared" si="7"/>
        <v>1</v>
      </c>
      <c r="Z19">
        <f t="shared" si="8"/>
        <v>1</v>
      </c>
      <c r="AA19">
        <f t="shared" si="9"/>
        <v>1</v>
      </c>
      <c r="AB19">
        <f t="shared" si="10"/>
        <v>1</v>
      </c>
      <c r="AC19">
        <f t="shared" si="10"/>
        <v>1</v>
      </c>
    </row>
    <row r="20" spans="1:29" ht="15">
      <c r="A20" s="16">
        <f t="shared" si="11"/>
        <v>16</v>
      </c>
      <c r="B20" s="54"/>
      <c r="C20" s="55"/>
      <c r="D20" s="56"/>
      <c r="E20" s="12"/>
      <c r="F20" s="7">
        <f t="shared" si="0"/>
      </c>
      <c r="G20" s="15">
        <f t="shared" si="1"/>
      </c>
      <c r="T20">
        <f t="shared" si="2"/>
        <v>1</v>
      </c>
      <c r="U20">
        <f t="shared" si="3"/>
        <v>0</v>
      </c>
      <c r="V20">
        <f t="shared" si="4"/>
        <v>1</v>
      </c>
      <c r="W20">
        <f t="shared" si="5"/>
        <v>1</v>
      </c>
      <c r="X20">
        <f t="shared" si="6"/>
        <v>1</v>
      </c>
      <c r="Y20">
        <f t="shared" si="7"/>
        <v>1</v>
      </c>
      <c r="Z20">
        <f t="shared" si="8"/>
        <v>1</v>
      </c>
      <c r="AA20">
        <f t="shared" si="9"/>
        <v>1</v>
      </c>
      <c r="AB20">
        <f t="shared" si="10"/>
        <v>1</v>
      </c>
      <c r="AC20">
        <f t="shared" si="10"/>
        <v>1</v>
      </c>
    </row>
    <row r="21" spans="1:29" ht="15">
      <c r="A21" s="16">
        <f t="shared" si="11"/>
        <v>17</v>
      </c>
      <c r="B21" s="54"/>
      <c r="C21" s="55"/>
      <c r="D21" s="56"/>
      <c r="E21" s="12"/>
      <c r="F21" s="7">
        <f t="shared" si="0"/>
      </c>
      <c r="G21" s="15">
        <f t="shared" si="1"/>
      </c>
      <c r="T21">
        <f t="shared" si="2"/>
        <v>1</v>
      </c>
      <c r="U21">
        <f t="shared" si="3"/>
        <v>0</v>
      </c>
      <c r="V21">
        <f t="shared" si="4"/>
        <v>1</v>
      </c>
      <c r="W21">
        <f t="shared" si="5"/>
        <v>1</v>
      </c>
      <c r="X21">
        <f t="shared" si="6"/>
        <v>1</v>
      </c>
      <c r="Y21">
        <f t="shared" si="7"/>
        <v>1</v>
      </c>
      <c r="Z21">
        <f t="shared" si="8"/>
        <v>1</v>
      </c>
      <c r="AA21">
        <f t="shared" si="9"/>
        <v>1</v>
      </c>
      <c r="AB21">
        <f t="shared" si="10"/>
        <v>1</v>
      </c>
      <c r="AC21">
        <f t="shared" si="10"/>
        <v>1</v>
      </c>
    </row>
    <row r="22" spans="1:29" ht="15">
      <c r="A22" s="16">
        <f t="shared" si="11"/>
        <v>18</v>
      </c>
      <c r="B22" s="54"/>
      <c r="C22" s="55"/>
      <c r="D22" s="56"/>
      <c r="E22" s="12"/>
      <c r="F22" s="7">
        <f t="shared" si="0"/>
      </c>
      <c r="G22" s="15">
        <f t="shared" si="1"/>
      </c>
      <c r="T22">
        <f t="shared" si="2"/>
        <v>1</v>
      </c>
      <c r="U22">
        <f t="shared" si="3"/>
        <v>0</v>
      </c>
      <c r="V22">
        <f t="shared" si="4"/>
        <v>1</v>
      </c>
      <c r="W22">
        <f t="shared" si="5"/>
        <v>1</v>
      </c>
      <c r="X22">
        <f t="shared" si="6"/>
        <v>1</v>
      </c>
      <c r="Y22">
        <f t="shared" si="7"/>
        <v>1</v>
      </c>
      <c r="Z22">
        <f t="shared" si="8"/>
        <v>1</v>
      </c>
      <c r="AA22">
        <f t="shared" si="9"/>
        <v>1</v>
      </c>
      <c r="AB22">
        <f t="shared" si="10"/>
        <v>1</v>
      </c>
      <c r="AC22">
        <f t="shared" si="10"/>
        <v>1</v>
      </c>
    </row>
    <row r="23" spans="1:29" ht="15">
      <c r="A23" s="16">
        <f t="shared" si="11"/>
        <v>19</v>
      </c>
      <c r="B23" s="54"/>
      <c r="C23" s="55"/>
      <c r="D23" s="56"/>
      <c r="E23" s="12"/>
      <c r="F23" s="7">
        <f t="shared" si="0"/>
      </c>
      <c r="G23" s="15">
        <f t="shared" si="1"/>
      </c>
      <c r="T23">
        <f t="shared" si="2"/>
        <v>1</v>
      </c>
      <c r="U23">
        <f t="shared" si="3"/>
        <v>0</v>
      </c>
      <c r="V23">
        <f t="shared" si="4"/>
        <v>1</v>
      </c>
      <c r="W23">
        <f t="shared" si="5"/>
        <v>1</v>
      </c>
      <c r="X23">
        <f t="shared" si="6"/>
        <v>1</v>
      </c>
      <c r="Y23">
        <f t="shared" si="7"/>
        <v>1</v>
      </c>
      <c r="Z23">
        <f t="shared" si="8"/>
        <v>1</v>
      </c>
      <c r="AA23">
        <f t="shared" si="9"/>
        <v>1</v>
      </c>
      <c r="AB23">
        <f t="shared" si="10"/>
        <v>1</v>
      </c>
      <c r="AC23">
        <f t="shared" si="10"/>
        <v>1</v>
      </c>
    </row>
    <row r="24" spans="1:29" ht="15">
      <c r="A24" s="16">
        <f t="shared" si="11"/>
        <v>20</v>
      </c>
      <c r="B24" s="54"/>
      <c r="C24" s="55"/>
      <c r="D24" s="56"/>
      <c r="E24" s="12"/>
      <c r="F24" s="7">
        <f t="shared" si="0"/>
      </c>
      <c r="G24" s="15">
        <f t="shared" si="1"/>
      </c>
      <c r="T24">
        <f t="shared" si="2"/>
        <v>1</v>
      </c>
      <c r="U24">
        <f t="shared" si="3"/>
        <v>0</v>
      </c>
      <c r="V24">
        <f t="shared" si="4"/>
        <v>1</v>
      </c>
      <c r="W24">
        <f t="shared" si="5"/>
        <v>1</v>
      </c>
      <c r="X24">
        <f t="shared" si="6"/>
        <v>1</v>
      </c>
      <c r="Y24">
        <f t="shared" si="7"/>
        <v>1</v>
      </c>
      <c r="Z24">
        <f t="shared" si="8"/>
        <v>1</v>
      </c>
      <c r="AA24">
        <f t="shared" si="9"/>
        <v>1</v>
      </c>
      <c r="AB24">
        <f t="shared" si="10"/>
        <v>1</v>
      </c>
      <c r="AC24">
        <f t="shared" si="10"/>
        <v>1</v>
      </c>
    </row>
    <row r="25" spans="1:29" ht="15">
      <c r="A25" s="16">
        <f t="shared" si="11"/>
        <v>21</v>
      </c>
      <c r="B25" s="54"/>
      <c r="C25" s="55"/>
      <c r="D25" s="56"/>
      <c r="E25" s="12"/>
      <c r="F25" s="7">
        <f t="shared" si="0"/>
      </c>
      <c r="G25" s="15">
        <f t="shared" si="1"/>
      </c>
      <c r="T25">
        <f t="shared" si="2"/>
        <v>1</v>
      </c>
      <c r="U25">
        <f t="shared" si="3"/>
        <v>0</v>
      </c>
      <c r="V25">
        <f t="shared" si="4"/>
        <v>1</v>
      </c>
      <c r="W25">
        <f t="shared" si="5"/>
        <v>1</v>
      </c>
      <c r="X25">
        <f t="shared" si="6"/>
        <v>1</v>
      </c>
      <c r="Y25">
        <f t="shared" si="7"/>
        <v>1</v>
      </c>
      <c r="Z25">
        <f t="shared" si="8"/>
        <v>1</v>
      </c>
      <c r="AA25">
        <f t="shared" si="9"/>
        <v>1</v>
      </c>
      <c r="AB25">
        <f t="shared" si="10"/>
        <v>1</v>
      </c>
      <c r="AC25">
        <f t="shared" si="10"/>
        <v>1</v>
      </c>
    </row>
    <row r="26" spans="1:29" ht="15">
      <c r="A26" s="16">
        <f t="shared" si="11"/>
        <v>22</v>
      </c>
      <c r="B26" s="54"/>
      <c r="C26" s="55"/>
      <c r="D26" s="56"/>
      <c r="E26" s="12"/>
      <c r="F26" s="7">
        <f t="shared" si="0"/>
      </c>
      <c r="G26" s="15">
        <f t="shared" si="1"/>
      </c>
      <c r="T26">
        <f t="shared" si="2"/>
        <v>1</v>
      </c>
      <c r="U26">
        <f t="shared" si="3"/>
        <v>0</v>
      </c>
      <c r="V26">
        <f t="shared" si="4"/>
        <v>1</v>
      </c>
      <c r="W26">
        <f t="shared" si="5"/>
        <v>1</v>
      </c>
      <c r="X26">
        <f t="shared" si="6"/>
        <v>1</v>
      </c>
      <c r="Y26">
        <f t="shared" si="7"/>
        <v>1</v>
      </c>
      <c r="Z26">
        <f t="shared" si="8"/>
        <v>1</v>
      </c>
      <c r="AA26">
        <f t="shared" si="9"/>
        <v>1</v>
      </c>
      <c r="AB26">
        <f t="shared" si="10"/>
        <v>1</v>
      </c>
      <c r="AC26">
        <f t="shared" si="10"/>
        <v>1</v>
      </c>
    </row>
    <row r="27" spans="1:29" ht="15">
      <c r="A27" s="27">
        <f t="shared" si="11"/>
        <v>23</v>
      </c>
      <c r="B27" s="57"/>
      <c r="C27" s="58"/>
      <c r="D27" s="59"/>
      <c r="E27" s="24"/>
      <c r="F27" s="25">
        <f t="shared" si="0"/>
      </c>
      <c r="G27" s="26">
        <f t="shared" si="1"/>
      </c>
      <c r="T27">
        <f t="shared" si="2"/>
        <v>1</v>
      </c>
      <c r="U27">
        <f t="shared" si="3"/>
        <v>0</v>
      </c>
      <c r="V27">
        <f t="shared" si="4"/>
        <v>1</v>
      </c>
      <c r="W27">
        <f t="shared" si="5"/>
        <v>1</v>
      </c>
      <c r="X27">
        <f t="shared" si="6"/>
        <v>1</v>
      </c>
      <c r="Y27">
        <f t="shared" si="7"/>
        <v>1</v>
      </c>
      <c r="Z27">
        <f t="shared" si="8"/>
        <v>1</v>
      </c>
      <c r="AA27">
        <f t="shared" si="9"/>
        <v>1</v>
      </c>
      <c r="AB27">
        <f t="shared" si="10"/>
        <v>1</v>
      </c>
      <c r="AC27">
        <f t="shared" si="10"/>
        <v>1</v>
      </c>
    </row>
    <row r="28" spans="1:29" ht="15">
      <c r="A28" s="16">
        <f t="shared" si="11"/>
        <v>24</v>
      </c>
      <c r="B28" s="54"/>
      <c r="C28" s="55"/>
      <c r="D28" s="56"/>
      <c r="E28" s="12"/>
      <c r="F28" s="7">
        <f t="shared" si="0"/>
      </c>
      <c r="G28" s="15">
        <f t="shared" si="1"/>
      </c>
      <c r="T28">
        <f t="shared" si="2"/>
        <v>1</v>
      </c>
      <c r="U28">
        <f t="shared" si="3"/>
        <v>0</v>
      </c>
      <c r="V28">
        <f t="shared" si="4"/>
        <v>1</v>
      </c>
      <c r="W28">
        <f t="shared" si="5"/>
        <v>1</v>
      </c>
      <c r="X28">
        <f t="shared" si="6"/>
        <v>1</v>
      </c>
      <c r="Y28">
        <f t="shared" si="7"/>
        <v>1</v>
      </c>
      <c r="Z28">
        <f t="shared" si="8"/>
        <v>1</v>
      </c>
      <c r="AA28">
        <f t="shared" si="9"/>
        <v>1</v>
      </c>
      <c r="AB28">
        <f t="shared" si="10"/>
        <v>1</v>
      </c>
      <c r="AC28">
        <f t="shared" si="10"/>
        <v>1</v>
      </c>
    </row>
    <row r="29" spans="1:29" ht="15">
      <c r="A29" s="16">
        <f t="shared" si="11"/>
        <v>25</v>
      </c>
      <c r="B29" s="54"/>
      <c r="C29" s="55"/>
      <c r="D29" s="56"/>
      <c r="E29" s="12"/>
      <c r="F29" s="7">
        <f t="shared" si="0"/>
      </c>
      <c r="G29" s="15">
        <f t="shared" si="1"/>
      </c>
      <c r="T29">
        <f t="shared" si="2"/>
        <v>1</v>
      </c>
      <c r="U29">
        <f t="shared" si="3"/>
        <v>0</v>
      </c>
      <c r="V29">
        <f t="shared" si="4"/>
        <v>1</v>
      </c>
      <c r="W29">
        <f t="shared" si="5"/>
        <v>1</v>
      </c>
      <c r="X29">
        <f t="shared" si="6"/>
        <v>1</v>
      </c>
      <c r="Y29">
        <f t="shared" si="7"/>
        <v>1</v>
      </c>
      <c r="Z29">
        <f t="shared" si="8"/>
        <v>1</v>
      </c>
      <c r="AA29">
        <f t="shared" si="9"/>
        <v>1</v>
      </c>
      <c r="AB29">
        <f t="shared" si="10"/>
        <v>1</v>
      </c>
      <c r="AC29">
        <f t="shared" si="10"/>
        <v>1</v>
      </c>
    </row>
    <row r="30" spans="1:29" ht="15">
      <c r="A30" s="16">
        <f t="shared" si="11"/>
        <v>26</v>
      </c>
      <c r="B30" s="54"/>
      <c r="C30" s="55"/>
      <c r="D30" s="56"/>
      <c r="E30" s="12"/>
      <c r="F30" s="7">
        <f t="shared" si="0"/>
      </c>
      <c r="G30" s="15">
        <f t="shared" si="1"/>
      </c>
      <c r="T30">
        <f t="shared" si="2"/>
        <v>1</v>
      </c>
      <c r="U30">
        <f t="shared" si="3"/>
        <v>0</v>
      </c>
      <c r="V30">
        <f t="shared" si="4"/>
        <v>1</v>
      </c>
      <c r="W30">
        <f t="shared" si="5"/>
        <v>1</v>
      </c>
      <c r="X30">
        <f t="shared" si="6"/>
        <v>1</v>
      </c>
      <c r="Y30">
        <f t="shared" si="7"/>
        <v>1</v>
      </c>
      <c r="Z30">
        <f t="shared" si="8"/>
        <v>1</v>
      </c>
      <c r="AA30">
        <f t="shared" si="9"/>
        <v>1</v>
      </c>
      <c r="AB30">
        <f t="shared" si="10"/>
        <v>1</v>
      </c>
      <c r="AC30">
        <f t="shared" si="10"/>
        <v>1</v>
      </c>
    </row>
    <row r="31" spans="1:42" ht="15.75">
      <c r="A31" s="16">
        <f t="shared" si="11"/>
        <v>27</v>
      </c>
      <c r="B31" s="54"/>
      <c r="C31" s="55"/>
      <c r="D31" s="56"/>
      <c r="E31" s="12"/>
      <c r="F31" s="7">
        <f t="shared" si="0"/>
      </c>
      <c r="G31" s="15">
        <f t="shared" si="1"/>
      </c>
      <c r="T31">
        <f t="shared" si="2"/>
        <v>1</v>
      </c>
      <c r="U31">
        <f t="shared" si="3"/>
        <v>0</v>
      </c>
      <c r="V31">
        <f t="shared" si="4"/>
        <v>1</v>
      </c>
      <c r="W31">
        <f t="shared" si="5"/>
        <v>1</v>
      </c>
      <c r="X31">
        <f t="shared" si="6"/>
        <v>1</v>
      </c>
      <c r="Y31">
        <f t="shared" si="7"/>
        <v>1</v>
      </c>
      <c r="Z31">
        <f t="shared" si="8"/>
        <v>1</v>
      </c>
      <c r="AA31">
        <f t="shared" si="9"/>
        <v>1</v>
      </c>
      <c r="AB31">
        <f t="shared" si="10"/>
        <v>1</v>
      </c>
      <c r="AC31">
        <f t="shared" si="10"/>
        <v>1</v>
      </c>
      <c r="AP31" s="23" t="s">
        <v>32</v>
      </c>
    </row>
    <row r="32" spans="1:29" ht="15">
      <c r="A32" s="16">
        <f t="shared" si="11"/>
        <v>28</v>
      </c>
      <c r="B32" s="54"/>
      <c r="C32" s="55"/>
      <c r="D32" s="56"/>
      <c r="E32" s="12"/>
      <c r="F32" s="7">
        <f t="shared" si="0"/>
      </c>
      <c r="G32" s="15">
        <f t="shared" si="1"/>
      </c>
      <c r="T32">
        <f t="shared" si="2"/>
        <v>1</v>
      </c>
      <c r="U32">
        <f t="shared" si="3"/>
        <v>0</v>
      </c>
      <c r="V32">
        <f t="shared" si="4"/>
        <v>1</v>
      </c>
      <c r="W32">
        <f t="shared" si="5"/>
        <v>1</v>
      </c>
      <c r="X32">
        <f t="shared" si="6"/>
        <v>1</v>
      </c>
      <c r="Y32">
        <f t="shared" si="7"/>
        <v>1</v>
      </c>
      <c r="Z32">
        <f t="shared" si="8"/>
        <v>1</v>
      </c>
      <c r="AA32">
        <f t="shared" si="9"/>
        <v>1</v>
      </c>
      <c r="AB32">
        <f t="shared" si="10"/>
        <v>1</v>
      </c>
      <c r="AC32">
        <f t="shared" si="10"/>
        <v>1</v>
      </c>
    </row>
    <row r="33" spans="1:29" ht="15">
      <c r="A33" s="16">
        <f t="shared" si="11"/>
        <v>29</v>
      </c>
      <c r="B33" s="54"/>
      <c r="C33" s="55"/>
      <c r="D33" s="56"/>
      <c r="E33" s="12"/>
      <c r="F33" s="7">
        <f t="shared" si="0"/>
      </c>
      <c r="G33" s="15">
        <f t="shared" si="1"/>
      </c>
      <c r="T33">
        <f t="shared" si="2"/>
        <v>1</v>
      </c>
      <c r="U33">
        <f t="shared" si="3"/>
        <v>0</v>
      </c>
      <c r="V33">
        <f t="shared" si="4"/>
        <v>1</v>
      </c>
      <c r="W33">
        <f t="shared" si="5"/>
        <v>1</v>
      </c>
      <c r="X33">
        <f t="shared" si="6"/>
        <v>1</v>
      </c>
      <c r="Y33">
        <f t="shared" si="7"/>
        <v>1</v>
      </c>
      <c r="Z33">
        <f t="shared" si="8"/>
        <v>1</v>
      </c>
      <c r="AA33">
        <f t="shared" si="9"/>
        <v>1</v>
      </c>
      <c r="AB33">
        <f t="shared" si="10"/>
        <v>1</v>
      </c>
      <c r="AC33">
        <f t="shared" si="10"/>
        <v>1</v>
      </c>
    </row>
    <row r="34" spans="1:29" ht="15">
      <c r="A34" s="16">
        <f t="shared" si="11"/>
        <v>30</v>
      </c>
      <c r="B34" s="54"/>
      <c r="C34" s="55"/>
      <c r="D34" s="56"/>
      <c r="E34" s="12"/>
      <c r="F34" s="7">
        <f t="shared" si="0"/>
      </c>
      <c r="G34" s="15">
        <f t="shared" si="1"/>
      </c>
      <c r="T34">
        <f t="shared" si="2"/>
        <v>1</v>
      </c>
      <c r="U34">
        <f t="shared" si="3"/>
        <v>0</v>
      </c>
      <c r="V34">
        <f t="shared" si="4"/>
        <v>1</v>
      </c>
      <c r="W34">
        <f t="shared" si="5"/>
        <v>1</v>
      </c>
      <c r="X34">
        <f t="shared" si="6"/>
        <v>1</v>
      </c>
      <c r="Y34">
        <f t="shared" si="7"/>
        <v>1</v>
      </c>
      <c r="Z34">
        <f t="shared" si="8"/>
        <v>1</v>
      </c>
      <c r="AA34">
        <f t="shared" si="9"/>
        <v>1</v>
      </c>
      <c r="AB34">
        <f t="shared" si="10"/>
        <v>1</v>
      </c>
      <c r="AC34">
        <f t="shared" si="10"/>
        <v>1</v>
      </c>
    </row>
    <row r="35" spans="1:29" ht="15">
      <c r="A35" s="16">
        <f t="shared" si="11"/>
        <v>31</v>
      </c>
      <c r="B35" s="54"/>
      <c r="C35" s="55"/>
      <c r="D35" s="56"/>
      <c r="E35" s="12"/>
      <c r="F35" s="7">
        <f t="shared" si="0"/>
      </c>
      <c r="G35" s="15">
        <f t="shared" si="1"/>
      </c>
      <c r="T35">
        <f t="shared" si="2"/>
        <v>1</v>
      </c>
      <c r="U35">
        <f t="shared" si="3"/>
        <v>0</v>
      </c>
      <c r="V35">
        <f t="shared" si="4"/>
        <v>1</v>
      </c>
      <c r="W35">
        <f t="shared" si="5"/>
        <v>1</v>
      </c>
      <c r="X35">
        <f t="shared" si="6"/>
        <v>1</v>
      </c>
      <c r="Y35">
        <f t="shared" si="7"/>
        <v>1</v>
      </c>
      <c r="Z35">
        <f t="shared" si="8"/>
        <v>1</v>
      </c>
      <c r="AA35">
        <f t="shared" si="9"/>
        <v>1</v>
      </c>
      <c r="AB35">
        <f t="shared" si="10"/>
        <v>1</v>
      </c>
      <c r="AC35">
        <f t="shared" si="10"/>
        <v>1</v>
      </c>
    </row>
    <row r="36" spans="1:29" ht="15">
      <c r="A36" s="16">
        <f t="shared" si="11"/>
        <v>32</v>
      </c>
      <c r="B36" s="54"/>
      <c r="C36" s="55"/>
      <c r="D36" s="56"/>
      <c r="E36" s="12"/>
      <c r="F36" s="7">
        <f t="shared" si="0"/>
      </c>
      <c r="G36" s="15">
        <f t="shared" si="1"/>
      </c>
      <c r="T36">
        <f t="shared" si="2"/>
        <v>1</v>
      </c>
      <c r="U36">
        <f t="shared" si="3"/>
        <v>0</v>
      </c>
      <c r="V36">
        <f t="shared" si="4"/>
        <v>1</v>
      </c>
      <c r="W36">
        <f t="shared" si="5"/>
        <v>1</v>
      </c>
      <c r="X36">
        <f t="shared" si="6"/>
        <v>1</v>
      </c>
      <c r="Y36">
        <f t="shared" si="7"/>
        <v>1</v>
      </c>
      <c r="Z36">
        <f t="shared" si="8"/>
        <v>1</v>
      </c>
      <c r="AA36">
        <f t="shared" si="9"/>
        <v>1</v>
      </c>
      <c r="AB36">
        <f t="shared" si="10"/>
        <v>1</v>
      </c>
      <c r="AC36">
        <f t="shared" si="10"/>
        <v>1</v>
      </c>
    </row>
    <row r="37" spans="1:29" ht="15">
      <c r="A37" s="16">
        <f t="shared" si="11"/>
        <v>33</v>
      </c>
      <c r="B37" s="54"/>
      <c r="C37" s="55"/>
      <c r="D37" s="56"/>
      <c r="E37" s="12"/>
      <c r="F37" s="7">
        <f t="shared" si="0"/>
      </c>
      <c r="G37" s="15">
        <f t="shared" si="1"/>
      </c>
      <c r="T37">
        <f t="shared" si="2"/>
        <v>1</v>
      </c>
      <c r="U37">
        <f t="shared" si="3"/>
        <v>0</v>
      </c>
      <c r="V37">
        <f t="shared" si="4"/>
        <v>1</v>
      </c>
      <c r="W37">
        <f t="shared" si="5"/>
        <v>1</v>
      </c>
      <c r="X37">
        <f t="shared" si="6"/>
        <v>1</v>
      </c>
      <c r="Y37">
        <f t="shared" si="7"/>
        <v>1</v>
      </c>
      <c r="Z37">
        <f t="shared" si="8"/>
        <v>1</v>
      </c>
      <c r="AA37">
        <f t="shared" si="9"/>
        <v>1</v>
      </c>
      <c r="AB37">
        <f t="shared" si="10"/>
        <v>1</v>
      </c>
      <c r="AC37">
        <f t="shared" si="10"/>
        <v>1</v>
      </c>
    </row>
    <row r="38" spans="1:29" ht="15">
      <c r="A38" s="16">
        <f>A37+1</f>
        <v>34</v>
      </c>
      <c r="B38" s="54"/>
      <c r="C38" s="55"/>
      <c r="D38" s="56"/>
      <c r="E38" s="12"/>
      <c r="F38" s="7">
        <f t="shared" si="0"/>
      </c>
      <c r="G38" s="15">
        <f t="shared" si="1"/>
      </c>
      <c r="T38">
        <f>IF($C$2="1º",V38,IF($C$2="2º",W38,IF($C$2="3º",X38,IF($C$2="4º",Y38,0))))</f>
        <v>1</v>
      </c>
      <c r="U38">
        <f>IF($C$2="5º",Z38,IF($C$2="6º",AA38,IF(OR($C$2="7º",$C$2="8º"),AB38,0)))</f>
        <v>0</v>
      </c>
      <c r="V38">
        <f t="shared" si="4"/>
        <v>1</v>
      </c>
      <c r="W38">
        <f t="shared" si="5"/>
        <v>1</v>
      </c>
      <c r="X38">
        <f t="shared" si="6"/>
        <v>1</v>
      </c>
      <c r="Y38">
        <f t="shared" si="7"/>
        <v>1</v>
      </c>
      <c r="Z38">
        <f t="shared" si="8"/>
        <v>1</v>
      </c>
      <c r="AA38">
        <f t="shared" si="9"/>
        <v>1</v>
      </c>
      <c r="AB38">
        <f aca="true" t="shared" si="12" ref="AB38:AC53">IF(AND($E38&gt;=0,$E38&lt;=($AV$4)),1,IF(AND($E38&gt;$AV$4,$E38&lt;=($AV$5)),2,IF(AND($E38&gt;$AV$5,$E38&lt;=$AV$6),3,IF(AND($E38&gt;$AV$6,$E38&lt;=$AV$7),4,IF(AND($E38&gt;=$AV$7,$E38&lt;=$AV$8),5,IF($E38&gt;$AV$8,6))))))</f>
        <v>1</v>
      </c>
      <c r="AC38">
        <f t="shared" si="12"/>
        <v>1</v>
      </c>
    </row>
    <row r="39" spans="1:29" ht="15">
      <c r="A39" s="16">
        <f t="shared" si="11"/>
        <v>35</v>
      </c>
      <c r="B39" s="54"/>
      <c r="C39" s="55"/>
      <c r="D39" s="56"/>
      <c r="E39" s="12"/>
      <c r="F39" s="7">
        <f t="shared" si="0"/>
      </c>
      <c r="G39" s="15">
        <f t="shared" si="1"/>
      </c>
      <c r="T39">
        <f>IF($C$2="1º",V39,IF($C$2="2º",W39,IF($C$2="3º",X39,IF($C$2="4º",Y39,0))))</f>
        <v>1</v>
      </c>
      <c r="U39">
        <f t="shared" si="3"/>
        <v>0</v>
      </c>
      <c r="V39">
        <f t="shared" si="4"/>
        <v>1</v>
      </c>
      <c r="W39">
        <f t="shared" si="5"/>
        <v>1</v>
      </c>
      <c r="X39">
        <f t="shared" si="6"/>
        <v>1</v>
      </c>
      <c r="Y39">
        <f t="shared" si="7"/>
        <v>1</v>
      </c>
      <c r="Z39">
        <f t="shared" si="8"/>
        <v>1</v>
      </c>
      <c r="AA39">
        <f t="shared" si="9"/>
        <v>1</v>
      </c>
      <c r="AB39">
        <f t="shared" si="12"/>
        <v>1</v>
      </c>
      <c r="AC39">
        <f t="shared" si="12"/>
        <v>1</v>
      </c>
    </row>
    <row r="40" spans="1:29" ht="15">
      <c r="A40" s="16">
        <f t="shared" si="11"/>
        <v>36</v>
      </c>
      <c r="B40" s="54"/>
      <c r="C40" s="55"/>
      <c r="D40" s="56"/>
      <c r="E40" s="12"/>
      <c r="F40" s="7">
        <f t="shared" si="0"/>
      </c>
      <c r="G40" s="15">
        <f t="shared" si="1"/>
      </c>
      <c r="T40">
        <f t="shared" si="2"/>
        <v>1</v>
      </c>
      <c r="U40">
        <f t="shared" si="3"/>
        <v>0</v>
      </c>
      <c r="V40">
        <f t="shared" si="4"/>
        <v>1</v>
      </c>
      <c r="W40">
        <f t="shared" si="5"/>
        <v>1</v>
      </c>
      <c r="X40">
        <f t="shared" si="6"/>
        <v>1</v>
      </c>
      <c r="Y40">
        <f t="shared" si="7"/>
        <v>1</v>
      </c>
      <c r="Z40">
        <f t="shared" si="8"/>
        <v>1</v>
      </c>
      <c r="AA40">
        <f t="shared" si="9"/>
        <v>1</v>
      </c>
      <c r="AB40">
        <f t="shared" si="12"/>
        <v>1</v>
      </c>
      <c r="AC40">
        <f t="shared" si="12"/>
        <v>1</v>
      </c>
    </row>
    <row r="41" spans="1:29" ht="15">
      <c r="A41" s="16">
        <f t="shared" si="11"/>
        <v>37</v>
      </c>
      <c r="B41" s="54"/>
      <c r="C41" s="55"/>
      <c r="D41" s="56"/>
      <c r="E41" s="12"/>
      <c r="F41" s="7">
        <f t="shared" si="0"/>
      </c>
      <c r="G41" s="15">
        <f t="shared" si="1"/>
      </c>
      <c r="T41">
        <f t="shared" si="2"/>
        <v>1</v>
      </c>
      <c r="U41">
        <f t="shared" si="3"/>
        <v>0</v>
      </c>
      <c r="V41">
        <f t="shared" si="4"/>
        <v>1</v>
      </c>
      <c r="W41">
        <f t="shared" si="5"/>
        <v>1</v>
      </c>
      <c r="X41">
        <f t="shared" si="6"/>
        <v>1</v>
      </c>
      <c r="Y41">
        <f t="shared" si="7"/>
        <v>1</v>
      </c>
      <c r="Z41">
        <f t="shared" si="8"/>
        <v>1</v>
      </c>
      <c r="AA41">
        <f t="shared" si="9"/>
        <v>1</v>
      </c>
      <c r="AB41">
        <f t="shared" si="12"/>
        <v>1</v>
      </c>
      <c r="AC41">
        <f t="shared" si="12"/>
        <v>1</v>
      </c>
    </row>
    <row r="42" spans="1:29" ht="15">
      <c r="A42" s="16">
        <f t="shared" si="11"/>
        <v>38</v>
      </c>
      <c r="B42" s="54"/>
      <c r="C42" s="55"/>
      <c r="D42" s="56"/>
      <c r="E42" s="12"/>
      <c r="F42" s="7">
        <f t="shared" si="0"/>
      </c>
      <c r="G42" s="15">
        <f t="shared" si="1"/>
      </c>
      <c r="T42">
        <f t="shared" si="2"/>
        <v>1</v>
      </c>
      <c r="U42">
        <f t="shared" si="3"/>
        <v>0</v>
      </c>
      <c r="V42">
        <f t="shared" si="4"/>
        <v>1</v>
      </c>
      <c r="W42">
        <f t="shared" si="5"/>
        <v>1</v>
      </c>
      <c r="X42">
        <f t="shared" si="6"/>
        <v>1</v>
      </c>
      <c r="Y42">
        <f t="shared" si="7"/>
        <v>1</v>
      </c>
      <c r="Z42">
        <f t="shared" si="8"/>
        <v>1</v>
      </c>
      <c r="AA42">
        <f t="shared" si="9"/>
        <v>1</v>
      </c>
      <c r="AB42">
        <f t="shared" si="12"/>
        <v>1</v>
      </c>
      <c r="AC42">
        <f t="shared" si="12"/>
        <v>1</v>
      </c>
    </row>
    <row r="43" spans="1:29" ht="15">
      <c r="A43" s="16">
        <f t="shared" si="11"/>
        <v>39</v>
      </c>
      <c r="B43" s="54"/>
      <c r="C43" s="55"/>
      <c r="D43" s="56"/>
      <c r="E43" s="12"/>
      <c r="F43" s="7">
        <f t="shared" si="0"/>
      </c>
      <c r="G43" s="15">
        <f t="shared" si="1"/>
      </c>
      <c r="T43">
        <f t="shared" si="2"/>
        <v>1</v>
      </c>
      <c r="U43">
        <f t="shared" si="3"/>
        <v>0</v>
      </c>
      <c r="V43">
        <f t="shared" si="4"/>
        <v>1</v>
      </c>
      <c r="W43">
        <f t="shared" si="5"/>
        <v>1</v>
      </c>
      <c r="X43">
        <f t="shared" si="6"/>
        <v>1</v>
      </c>
      <c r="Y43">
        <f t="shared" si="7"/>
        <v>1</v>
      </c>
      <c r="Z43">
        <f t="shared" si="8"/>
        <v>1</v>
      </c>
      <c r="AA43">
        <f t="shared" si="9"/>
        <v>1</v>
      </c>
      <c r="AB43">
        <f t="shared" si="12"/>
        <v>1</v>
      </c>
      <c r="AC43">
        <f t="shared" si="12"/>
        <v>1</v>
      </c>
    </row>
    <row r="44" spans="1:29" ht="15">
      <c r="A44" s="16">
        <f t="shared" si="11"/>
        <v>40</v>
      </c>
      <c r="B44" s="54"/>
      <c r="C44" s="55"/>
      <c r="D44" s="56"/>
      <c r="E44" s="12"/>
      <c r="F44" s="7">
        <f t="shared" si="0"/>
      </c>
      <c r="G44" s="15">
        <f t="shared" si="1"/>
      </c>
      <c r="T44">
        <f t="shared" si="2"/>
        <v>1</v>
      </c>
      <c r="U44">
        <f t="shared" si="3"/>
        <v>0</v>
      </c>
      <c r="V44">
        <f t="shared" si="4"/>
        <v>1</v>
      </c>
      <c r="W44">
        <f t="shared" si="5"/>
        <v>1</v>
      </c>
      <c r="X44">
        <f t="shared" si="6"/>
        <v>1</v>
      </c>
      <c r="Y44">
        <f t="shared" si="7"/>
        <v>1</v>
      </c>
      <c r="Z44">
        <f t="shared" si="8"/>
        <v>1</v>
      </c>
      <c r="AA44">
        <f t="shared" si="9"/>
        <v>1</v>
      </c>
      <c r="AB44">
        <f t="shared" si="12"/>
        <v>1</v>
      </c>
      <c r="AC44">
        <f t="shared" si="12"/>
        <v>1</v>
      </c>
    </row>
    <row r="45" spans="1:29" ht="15.75" thickBot="1">
      <c r="A45" s="27">
        <f t="shared" si="11"/>
        <v>41</v>
      </c>
      <c r="B45" s="57"/>
      <c r="C45" s="58"/>
      <c r="D45" s="59"/>
      <c r="E45" s="24"/>
      <c r="F45" s="25">
        <f t="shared" si="0"/>
      </c>
      <c r="G45" s="26">
        <f t="shared" si="1"/>
      </c>
      <c r="T45">
        <f t="shared" si="2"/>
        <v>1</v>
      </c>
      <c r="U45">
        <f t="shared" si="3"/>
        <v>0</v>
      </c>
      <c r="V45">
        <f t="shared" si="4"/>
        <v>1</v>
      </c>
      <c r="W45">
        <f t="shared" si="5"/>
        <v>1</v>
      </c>
      <c r="X45">
        <f t="shared" si="6"/>
        <v>1</v>
      </c>
      <c r="Y45">
        <f t="shared" si="7"/>
        <v>1</v>
      </c>
      <c r="Z45">
        <f t="shared" si="8"/>
        <v>1</v>
      </c>
      <c r="AA45">
        <f t="shared" si="9"/>
        <v>1</v>
      </c>
      <c r="AB45">
        <f t="shared" si="12"/>
        <v>1</v>
      </c>
      <c r="AC45">
        <f t="shared" si="12"/>
        <v>1</v>
      </c>
    </row>
    <row r="46" spans="1:29" ht="15.75" customHeight="1">
      <c r="A46" s="16">
        <f t="shared" si="11"/>
        <v>42</v>
      </c>
      <c r="B46" s="54"/>
      <c r="C46" s="55"/>
      <c r="D46" s="56"/>
      <c r="E46" s="12"/>
      <c r="F46" s="7">
        <f t="shared" si="0"/>
      </c>
      <c r="G46" s="15">
        <f t="shared" si="1"/>
      </c>
      <c r="H46" s="28" t="s">
        <v>26</v>
      </c>
      <c r="I46" s="29"/>
      <c r="J46" s="32">
        <f>IF(ISERROR(G55),"",G55)</f>
      </c>
      <c r="K46" s="32"/>
      <c r="L46" s="33"/>
      <c r="T46">
        <f t="shared" si="2"/>
        <v>1</v>
      </c>
      <c r="U46">
        <f t="shared" si="3"/>
        <v>0</v>
      </c>
      <c r="V46">
        <f t="shared" si="4"/>
        <v>1</v>
      </c>
      <c r="W46">
        <f t="shared" si="5"/>
        <v>1</v>
      </c>
      <c r="X46">
        <f t="shared" si="6"/>
        <v>1</v>
      </c>
      <c r="Y46">
        <f t="shared" si="7"/>
        <v>1</v>
      </c>
      <c r="Z46">
        <f t="shared" si="8"/>
        <v>1</v>
      </c>
      <c r="AA46">
        <f t="shared" si="9"/>
        <v>1</v>
      </c>
      <c r="AB46">
        <f t="shared" si="12"/>
        <v>1</v>
      </c>
      <c r="AC46">
        <f t="shared" si="12"/>
        <v>1</v>
      </c>
    </row>
    <row r="47" spans="1:29" ht="15.75" customHeight="1" thickBot="1">
      <c r="A47" s="16">
        <f t="shared" si="11"/>
        <v>43</v>
      </c>
      <c r="B47" s="54"/>
      <c r="C47" s="55"/>
      <c r="D47" s="56"/>
      <c r="E47" s="12"/>
      <c r="F47" s="7">
        <f t="shared" si="0"/>
      </c>
      <c r="G47" s="15">
        <f t="shared" si="1"/>
      </c>
      <c r="H47" s="30"/>
      <c r="I47" s="31"/>
      <c r="J47" s="34"/>
      <c r="K47" s="34"/>
      <c r="L47" s="35"/>
      <c r="T47">
        <f t="shared" si="2"/>
        <v>1</v>
      </c>
      <c r="U47">
        <f t="shared" si="3"/>
        <v>0</v>
      </c>
      <c r="V47">
        <f t="shared" si="4"/>
        <v>1</v>
      </c>
      <c r="W47">
        <f t="shared" si="5"/>
        <v>1</v>
      </c>
      <c r="X47">
        <f t="shared" si="6"/>
        <v>1</v>
      </c>
      <c r="Y47">
        <f t="shared" si="7"/>
        <v>1</v>
      </c>
      <c r="Z47">
        <f t="shared" si="8"/>
        <v>1</v>
      </c>
      <c r="AA47">
        <f t="shared" si="9"/>
        <v>1</v>
      </c>
      <c r="AB47">
        <f t="shared" si="12"/>
        <v>1</v>
      </c>
      <c r="AC47">
        <f t="shared" si="12"/>
        <v>1</v>
      </c>
    </row>
    <row r="48" spans="1:29" ht="15" customHeight="1">
      <c r="A48" s="16">
        <f t="shared" si="11"/>
        <v>44</v>
      </c>
      <c r="B48" s="44"/>
      <c r="C48" s="45"/>
      <c r="D48" s="46"/>
      <c r="E48" s="12"/>
      <c r="F48" s="7">
        <f t="shared" si="0"/>
      </c>
      <c r="G48" s="15">
        <f t="shared" si="1"/>
      </c>
      <c r="H48" s="36" t="s">
        <v>27</v>
      </c>
      <c r="I48" s="37"/>
      <c r="J48" s="32">
        <f>IF(ISERROR(F55),"",F57)</f>
      </c>
      <c r="K48" s="32"/>
      <c r="L48" s="33"/>
      <c r="T48">
        <f t="shared" si="2"/>
        <v>1</v>
      </c>
      <c r="U48">
        <f t="shared" si="3"/>
        <v>0</v>
      </c>
      <c r="V48">
        <f t="shared" si="4"/>
        <v>1</v>
      </c>
      <c r="W48">
        <f t="shared" si="5"/>
        <v>1</v>
      </c>
      <c r="X48">
        <f t="shared" si="6"/>
        <v>1</v>
      </c>
      <c r="Y48">
        <f t="shared" si="7"/>
        <v>1</v>
      </c>
      <c r="Z48">
        <f t="shared" si="8"/>
        <v>1</v>
      </c>
      <c r="AA48">
        <f t="shared" si="9"/>
        <v>1</v>
      </c>
      <c r="AB48">
        <f t="shared" si="12"/>
        <v>1</v>
      </c>
      <c r="AC48">
        <f t="shared" si="12"/>
        <v>1</v>
      </c>
    </row>
    <row r="49" spans="1:29" ht="15.75" customHeight="1" thickBot="1">
      <c r="A49" s="16">
        <f t="shared" si="11"/>
        <v>45</v>
      </c>
      <c r="B49" s="44"/>
      <c r="C49" s="45"/>
      <c r="D49" s="46"/>
      <c r="E49" s="12"/>
      <c r="F49" s="7">
        <f t="shared" si="0"/>
      </c>
      <c r="G49" s="15">
        <f t="shared" si="1"/>
      </c>
      <c r="H49" s="38"/>
      <c r="I49" s="39"/>
      <c r="J49" s="34"/>
      <c r="K49" s="34"/>
      <c r="L49" s="35"/>
      <c r="T49">
        <f t="shared" si="2"/>
        <v>1</v>
      </c>
      <c r="U49">
        <f t="shared" si="3"/>
        <v>0</v>
      </c>
      <c r="V49">
        <f t="shared" si="4"/>
        <v>1</v>
      </c>
      <c r="W49">
        <f t="shared" si="5"/>
        <v>1</v>
      </c>
      <c r="X49">
        <f t="shared" si="6"/>
        <v>1</v>
      </c>
      <c r="Y49">
        <f t="shared" si="7"/>
        <v>1</v>
      </c>
      <c r="Z49">
        <f t="shared" si="8"/>
        <v>1</v>
      </c>
      <c r="AA49">
        <f t="shared" si="9"/>
        <v>1</v>
      </c>
      <c r="AB49">
        <f t="shared" si="12"/>
        <v>1</v>
      </c>
      <c r="AC49">
        <f t="shared" si="12"/>
        <v>1</v>
      </c>
    </row>
    <row r="50" spans="1:29" ht="15" customHeight="1">
      <c r="A50" s="16">
        <f t="shared" si="11"/>
        <v>46</v>
      </c>
      <c r="B50" s="44"/>
      <c r="C50" s="45"/>
      <c r="D50" s="46"/>
      <c r="E50" s="12"/>
      <c r="F50" s="7">
        <f t="shared" si="0"/>
      </c>
      <c r="G50" s="15">
        <f t="shared" si="1"/>
      </c>
      <c r="H50" s="40" t="s">
        <v>28</v>
      </c>
      <c r="I50" s="41"/>
      <c r="J50" s="32">
        <f>IF(ISERROR(E55),"",E55)</f>
      </c>
      <c r="K50" s="32"/>
      <c r="L50" s="33"/>
      <c r="T50">
        <f t="shared" si="2"/>
        <v>1</v>
      </c>
      <c r="U50">
        <f t="shared" si="3"/>
        <v>0</v>
      </c>
      <c r="V50">
        <f t="shared" si="4"/>
        <v>1</v>
      </c>
      <c r="W50">
        <f t="shared" si="5"/>
        <v>1</v>
      </c>
      <c r="X50">
        <f t="shared" si="6"/>
        <v>1</v>
      </c>
      <c r="Y50">
        <f t="shared" si="7"/>
        <v>1</v>
      </c>
      <c r="Z50">
        <f t="shared" si="8"/>
        <v>1</v>
      </c>
      <c r="AA50">
        <f t="shared" si="9"/>
        <v>1</v>
      </c>
      <c r="AB50">
        <f t="shared" si="12"/>
        <v>1</v>
      </c>
      <c r="AC50">
        <f t="shared" si="12"/>
        <v>1</v>
      </c>
    </row>
    <row r="51" spans="1:29" ht="15.75" customHeight="1" thickBot="1">
      <c r="A51" s="16">
        <f t="shared" si="11"/>
        <v>47</v>
      </c>
      <c r="B51" s="44"/>
      <c r="C51" s="45"/>
      <c r="D51" s="46"/>
      <c r="E51" s="12"/>
      <c r="F51" s="7">
        <f t="shared" si="0"/>
      </c>
      <c r="G51" s="15">
        <f t="shared" si="1"/>
      </c>
      <c r="H51" s="38"/>
      <c r="I51" s="39"/>
      <c r="J51" s="34"/>
      <c r="K51" s="34"/>
      <c r="L51" s="35"/>
      <c r="T51">
        <f t="shared" si="2"/>
        <v>1</v>
      </c>
      <c r="U51">
        <f t="shared" si="3"/>
        <v>0</v>
      </c>
      <c r="V51">
        <f t="shared" si="4"/>
        <v>1</v>
      </c>
      <c r="W51">
        <f t="shared" si="5"/>
        <v>1</v>
      </c>
      <c r="X51">
        <f t="shared" si="6"/>
        <v>1</v>
      </c>
      <c r="Y51">
        <f t="shared" si="7"/>
        <v>1</v>
      </c>
      <c r="Z51">
        <f t="shared" si="8"/>
        <v>1</v>
      </c>
      <c r="AA51">
        <f t="shared" si="9"/>
        <v>1</v>
      </c>
      <c r="AB51">
        <f t="shared" si="12"/>
        <v>1</v>
      </c>
      <c r="AC51">
        <f t="shared" si="12"/>
        <v>1</v>
      </c>
    </row>
    <row r="52" spans="1:29" ht="15">
      <c r="A52" s="16">
        <f>A51+1</f>
        <v>48</v>
      </c>
      <c r="B52" s="44"/>
      <c r="C52" s="45"/>
      <c r="D52" s="46"/>
      <c r="E52" s="12"/>
      <c r="F52" s="7">
        <f t="shared" si="0"/>
      </c>
      <c r="G52" s="15">
        <f t="shared" si="1"/>
      </c>
      <c r="T52">
        <f t="shared" si="2"/>
        <v>1</v>
      </c>
      <c r="U52">
        <f t="shared" si="3"/>
        <v>0</v>
      </c>
      <c r="V52">
        <f t="shared" si="4"/>
        <v>1</v>
      </c>
      <c r="W52">
        <f t="shared" si="5"/>
        <v>1</v>
      </c>
      <c r="X52">
        <f t="shared" si="6"/>
        <v>1</v>
      </c>
      <c r="Y52">
        <f t="shared" si="7"/>
        <v>1</v>
      </c>
      <c r="Z52">
        <f t="shared" si="8"/>
        <v>1</v>
      </c>
      <c r="AA52">
        <f t="shared" si="9"/>
        <v>1</v>
      </c>
      <c r="AB52">
        <f t="shared" si="12"/>
        <v>1</v>
      </c>
      <c r="AC52">
        <f t="shared" si="12"/>
        <v>1</v>
      </c>
    </row>
    <row r="53" spans="1:29" ht="15">
      <c r="A53" s="16">
        <f t="shared" si="11"/>
        <v>49</v>
      </c>
      <c r="B53" s="44"/>
      <c r="C53" s="45"/>
      <c r="D53" s="46"/>
      <c r="E53" s="12"/>
      <c r="F53" s="7">
        <f t="shared" si="0"/>
      </c>
      <c r="G53" s="15">
        <f t="shared" si="1"/>
      </c>
      <c r="T53">
        <f t="shared" si="2"/>
        <v>1</v>
      </c>
      <c r="U53">
        <f t="shared" si="3"/>
        <v>0</v>
      </c>
      <c r="V53">
        <f t="shared" si="4"/>
        <v>1</v>
      </c>
      <c r="W53">
        <f t="shared" si="5"/>
        <v>1</v>
      </c>
      <c r="X53">
        <f t="shared" si="6"/>
        <v>1</v>
      </c>
      <c r="Y53">
        <f t="shared" si="7"/>
        <v>1</v>
      </c>
      <c r="Z53">
        <f t="shared" si="8"/>
        <v>1</v>
      </c>
      <c r="AA53">
        <f t="shared" si="9"/>
        <v>1</v>
      </c>
      <c r="AB53">
        <f t="shared" si="12"/>
        <v>1</v>
      </c>
      <c r="AC53">
        <f t="shared" si="12"/>
        <v>1</v>
      </c>
    </row>
    <row r="54" spans="1:29" ht="15.75" thickBot="1">
      <c r="A54" s="17">
        <f>A53+1</f>
        <v>50</v>
      </c>
      <c r="B54" s="47"/>
      <c r="C54" s="48"/>
      <c r="D54" s="49"/>
      <c r="E54" s="18"/>
      <c r="F54" s="7">
        <f>IF(E54="","",IF(SUM(T54:U54)=1,$AO$4,IF(SUM(T54:U54)=2,$AO$5,IF(SUM(T54:U54)=3,$AO$6,IF(SUM(T54:U54)=4,$AO$7,IF(SUM(T54:U54)=5,$AO$8,IF(SUM(T54:U54)=6,$AO$9,0)))))))</f>
      </c>
      <c r="G54" s="15">
        <f>IF(F54="","",IF(SUM(T54:U54)&lt;=2,"INICIAL",IF(SUM(T54:U54)&lt;=4,"INTERMEDIO",IF(SUM(T54:U54)&gt;4,"AVANZADO"))))</f>
      </c>
      <c r="T54">
        <f t="shared" si="2"/>
        <v>1</v>
      </c>
      <c r="U54">
        <f t="shared" si="3"/>
        <v>0</v>
      </c>
      <c r="V54">
        <f>IF(AND($E54&gt;=0,$E54&lt;=($AP$4)),1,IF(AND($E54&gt;$AP$4,$E54&lt;=($AP$5)),2,IF(AND($E54&gt;$AP$5,$E54&lt;=$AP$6),3,IF(AND($E54&gt;$AP$6,$E54&lt;=$AP$7),4,IF(AND($E54&gt;=$AP$7,$E54&lt;=$AP$8),5,IF($E54&gt;$AP$8,6))))))</f>
        <v>1</v>
      </c>
      <c r="W54">
        <f>IF(AND($E54&gt;=0,$E54&lt;=($AQ$4)),1,IF(AND($E54&gt;$AQ$4,$E54&lt;=($AQ$5)),2,IF(AND($E54&gt;$AQ$5,$E54&lt;=$AQ$6),3,IF(AND($E54&gt;$AQ$6,$E54&lt;=$AQ$7),4,IF(AND($E54&gt;=$AQ$7,$E54&lt;=$AQ$8),5,IF($E54&gt;$AQ$8,6))))))</f>
        <v>1</v>
      </c>
      <c r="X54">
        <f>IF(AND($E54&gt;=0,$E54&lt;=($AR$4)),1,IF(AND($E54&gt;$AR$4,$E54&lt;=($AR$5)),2,IF(AND($E54&gt;$AR$5,$E54&lt;=$AR$6),3,IF(AND($E54&gt;$AR$6,$E54&lt;=$AR$7),4,IF(AND($E54&gt;=$AR$7,$E54&lt;=$AR$8),5,IF($E54&gt;$AR$8,6))))))</f>
        <v>1</v>
      </c>
      <c r="Y54">
        <f>IF(AND($E54&gt;=0,$E54&lt;=($AS$4)),1,IF(AND($E54&gt;$AS$4,$E54&lt;=($AS$5)),2,IF(AND($E54&gt;$AS$5,$E54&lt;=$AS$6),3,IF(AND($E54&gt;$AS$6,$E54&lt;=$AS$7),4,IF(AND($E54&gt;=$AS$7,$E54&lt;=$AS$8),5,IF($E54&gt;$AS$8,6))))))</f>
        <v>1</v>
      </c>
      <c r="Z54">
        <f>IF(AND($E54&gt;=0,$E54&lt;=($AT$4)),1,IF(AND($E54&gt;$AT$4,$E54&lt;=($AT$5)),2,IF(AND($E54&gt;$AT$5,$E54&lt;=$AT$6),3,IF(AND($E54&gt;$AT$6,$E54&lt;=$AT$7),4,IF(AND($E54&gt;=$AT$7,$E54&lt;=$AT$8),5,IF($E54&gt;$AT$8,6))))))</f>
        <v>1</v>
      </c>
      <c r="AA54">
        <f>IF(AND($E54&gt;=0,$E54&lt;=($AU$4)),1,IF(AND($E54&gt;$AU$4,$E54&lt;=($AU$5)),2,IF(AND($E54&gt;$AU$5,$E54&lt;=$AU$6),3,IF(AND($E54&gt;$AU$6,$E54&lt;=$AU$7),4,IF(AND($E54&gt;=$AU$7,$E54&lt;=$AU$8),5,IF($E54&gt;$AU$8,6))))))</f>
        <v>1</v>
      </c>
      <c r="AB54">
        <f>IF(AND($E54&gt;=0,$E54&lt;=($AV$4)),1,IF(AND($E54&gt;$AV$4,$E54&lt;=($AV$5)),2,IF(AND($E54&gt;$AV$5,$E54&lt;=$AV$6),3,IF(AND($E54&gt;$AV$6,$E54&lt;=$AV$7),4,IF(AND($E54&gt;=$AV$7,$E54&lt;=$AV$8),5,IF($E54&gt;$AV$8,6))))))</f>
        <v>1</v>
      </c>
      <c r="AC54">
        <f>IF(AND($E54&gt;=0,$E54&lt;=($AV$4)),1,IF(AND($E54&gt;$AV$4,$E54&lt;=($AV$5)),2,IF(AND($E54&gt;$AV$5,$E54&lt;=$AV$6),3,IF(AND($E54&gt;$AV$6,$E54&lt;=$AV$7),4,IF(AND($E54&gt;=$AV$7,$E54&lt;=$AV$8),5,IF($E54&gt;$AV$8,6))))))</f>
        <v>1</v>
      </c>
    </row>
    <row r="55" spans="5:29" ht="15" hidden="1">
      <c r="E55" t="e">
        <f>AVERAGE(E5:E54)</f>
        <v>#DIV/0!</v>
      </c>
      <c r="F55" s="7" t="e">
        <f>IF(E55="","",IF(SUM(T55:U55)=1,$AO$4,IF(SUM(T55:U55)=2,$AO$5,IF(SUM(T55:U55)=3,$AO$6,IF(SUM(T55:U55)=4,$AO$7,IF(SUM(T55:U55)=5,$AO$8,IF(SUM(T55:U55)=6,$AO$9,0)))))))</f>
        <v>#DIV/0!</v>
      </c>
      <c r="G55" s="15" t="e">
        <f>IF(F55="","",IF(SUM(T55:U55)&lt;=2,"INICIAL",IF(SUM(T55:U55)&lt;=4,"INTERMEDIO",IF(SUM(T55:U55)&gt;4,"AVANZADO"))))</f>
        <v>#DIV/0!</v>
      </c>
      <c r="T55" t="e">
        <f>IF($C$2="1º",V55,IF($C$2="2º",W55,IF($C$2="3º",X55,IF($C$2="4º",Y55,0))))</f>
        <v>#DIV/0!</v>
      </c>
      <c r="U55">
        <f>IF($C$2="5º",Z55,IF($C$2="6º",AA55,IF(OR($C$2="7º",$C$2="8º"),AB55,0)))</f>
        <v>0</v>
      </c>
      <c r="V55" t="e">
        <f>IF(AND($E55&gt;=0,$E55&lt;=($AP$4)),1,IF(AND($E55&gt;$AP$4,$E55&lt;=($AP$5)),2,IF(AND($E55&gt;$AP$5,$E55&lt;=$AP$6),3,IF(AND($E55&gt;$AP$6,$E55&lt;=$AP$7),4,IF(AND($E55&gt;=$AP$7,$E55&lt;=$AP$8),5,IF($E55&gt;$AP$8,6))))))</f>
        <v>#DIV/0!</v>
      </c>
      <c r="W55" t="e">
        <f>IF(AND($E55&gt;=0,$E55&lt;=($AQ$4)),1,IF(AND($E55&gt;$AQ$4,$E55&lt;=($AQ$5)),2,IF(AND($E55&gt;$AQ$5,$E55&lt;=$AQ$6),3,IF(AND($E55&gt;$AQ$6,$E55&lt;=$AQ$7),4,IF(AND($E55&gt;=$AQ$7,$E55&lt;=$AQ$8),5,IF($E55&gt;$AQ$8,6))))))</f>
        <v>#DIV/0!</v>
      </c>
      <c r="X55" t="e">
        <f>IF(AND($E55&gt;=0,$E55&lt;=($AR$4)),1,IF(AND($E55&gt;$AR$4,$E55&lt;=($AR$5)),2,IF(AND($E55&gt;$AR$5,$E55&lt;=$AR$6),3,IF(AND($E55&gt;$AR$6,$E55&lt;=$AR$7),4,IF(AND($E55&gt;=$AR$7,$E55&lt;=$AR$8),5,IF($E55&gt;$AR$8,6))))))</f>
        <v>#DIV/0!</v>
      </c>
      <c r="Y55" t="e">
        <f>IF(AND($E55&gt;=0,$E55&lt;=($AS$4)),1,IF(AND($E55&gt;$AS$4,$E55&lt;=($AS$5)),2,IF(AND($E55&gt;$AS$5,$E55&lt;=$AS$6),3,IF(AND($E55&gt;$AS$6,$E55&lt;=$AS$7),4,IF(AND($E55&gt;=$AS$7,$E55&lt;=$AS$8),5,IF($E55&gt;$AS$8,6))))))</f>
        <v>#DIV/0!</v>
      </c>
      <c r="Z55" t="e">
        <f>IF(AND($E55&gt;=0,$E55&lt;=($AT$4)),1,IF(AND($E55&gt;$AT$4,$E55&lt;=($AT$5)),2,IF(AND($E55&gt;$AT$5,$E55&lt;=$AT$6),3,IF(AND($E55&gt;$AT$6,$E55&lt;=$AT$7),4,IF(AND($E55&gt;=$AT$7,$E55&lt;=$AT$8),5,IF($E55&gt;$AT$8,6))))))</f>
        <v>#DIV/0!</v>
      </c>
      <c r="AA55" t="e">
        <f>IF(AND($E55&gt;=0,$E55&lt;=($AU$4)),1,IF(AND($E55&gt;$AU$4,$E55&lt;=($AU$5)),2,IF(AND($E55&gt;$AU$5,$E55&lt;=$AU$6),3,IF(AND($E55&gt;$AU$6,$E55&lt;=$AU$7),4,IF(AND($E55&gt;=$AU$7,$E55&lt;=$AU$8),5,IF($E55&gt;$AU$8,6))))))</f>
        <v>#DIV/0!</v>
      </c>
      <c r="AB55" t="e">
        <f>IF(AND($E55&gt;=0,$E55&lt;=($AV$4)),1,IF(AND($E55&gt;$AV$4,$E55&lt;=($AV$5)),2,IF(AND($E55&gt;$AV$5,$E55&lt;=$AV$6),3,IF(AND($E55&gt;$AV$6,$E55&lt;=$AV$7),4,IF(AND($E55&gt;=$AV$7,$E55&lt;=$AV$8),5,IF($E55&gt;$AV$8,6))))))</f>
        <v>#DIV/0!</v>
      </c>
      <c r="AC55" t="e">
        <f>IF(AND($E55&gt;=0,$E55&lt;=($AV$4)),1,IF(AND($E55&gt;$AV$4,$E55&lt;=($AV$5)),2,IF(AND($E55&gt;$AV$5,$E55&lt;=$AV$6),3,IF(AND($E55&gt;$AV$6,$E55&lt;=$AV$7),4,IF(AND($E55&gt;=$AV$7,$E55&lt;=$AV$8),5,IF($E55&gt;$AV$8,6))))))</f>
        <v>#DIV/0!</v>
      </c>
    </row>
    <row r="56" spans="2:7" ht="15" hidden="1">
      <c r="B56" t="s">
        <v>10</v>
      </c>
      <c r="C56">
        <f aca="true" t="shared" si="13" ref="C56:C61">COUNTIF($F$5:$F$54,B56)</f>
        <v>0</v>
      </c>
      <c r="D56" s="19" t="e">
        <f aca="true" t="shared" si="14" ref="D56:D61">(C56*100)/$C$62</f>
        <v>#DIV/0!</v>
      </c>
      <c r="E56" t="s">
        <v>23</v>
      </c>
      <c r="F56" s="19" t="e">
        <f>(COUNTIF($G$5:$G$54,E56)*100)/$C$62</f>
        <v>#DIV/0!</v>
      </c>
      <c r="G56" s="21">
        <f>COUNTIF($G$5:$G$54,E56)</f>
        <v>0</v>
      </c>
    </row>
    <row r="57" spans="2:7" ht="15" hidden="1">
      <c r="B57" t="s">
        <v>11</v>
      </c>
      <c r="C57">
        <f t="shared" si="13"/>
        <v>0</v>
      </c>
      <c r="D57" s="19" t="e">
        <f t="shared" si="14"/>
        <v>#DIV/0!</v>
      </c>
      <c r="E57" t="s">
        <v>24</v>
      </c>
      <c r="F57" s="19" t="e">
        <f>(COUNTIF($G$5:$G$54,E57)*100)/$C$62</f>
        <v>#DIV/0!</v>
      </c>
      <c r="G57" s="21">
        <f>COUNTIF($G$5:$G$54,E57)</f>
        <v>0</v>
      </c>
    </row>
    <row r="58" spans="2:7" ht="15" hidden="1">
      <c r="B58" t="s">
        <v>12</v>
      </c>
      <c r="C58">
        <f t="shared" si="13"/>
        <v>0</v>
      </c>
      <c r="D58" s="19" t="e">
        <f t="shared" si="14"/>
        <v>#DIV/0!</v>
      </c>
      <c r="E58" t="s">
        <v>25</v>
      </c>
      <c r="F58" s="19" t="e">
        <f>(COUNTIF($G$5:$G$54,E58)*100)/$C$62</f>
        <v>#DIV/0!</v>
      </c>
      <c r="G58" s="21">
        <f>COUNTIF($G$5:$G$54,E58)</f>
        <v>0</v>
      </c>
    </row>
    <row r="59" spans="2:7" ht="15" hidden="1">
      <c r="B59" t="s">
        <v>13</v>
      </c>
      <c r="C59">
        <f t="shared" si="13"/>
        <v>0</v>
      </c>
      <c r="D59" s="19" t="e">
        <f t="shared" si="14"/>
        <v>#DIV/0!</v>
      </c>
      <c r="F59" t="e">
        <f>SUM(F56:F58)</f>
        <v>#DIV/0!</v>
      </c>
      <c r="G59">
        <f>SUM(G56:G58)</f>
        <v>0</v>
      </c>
    </row>
    <row r="60" spans="2:4" ht="15" hidden="1">
      <c r="B60" t="s">
        <v>14</v>
      </c>
      <c r="C60">
        <f t="shared" si="13"/>
        <v>0</v>
      </c>
      <c r="D60" s="19" t="e">
        <f t="shared" si="14"/>
        <v>#DIV/0!</v>
      </c>
    </row>
    <row r="61" spans="2:4" ht="15" hidden="1">
      <c r="B61" t="s">
        <v>15</v>
      </c>
      <c r="C61">
        <f t="shared" si="13"/>
        <v>0</v>
      </c>
      <c r="D61" s="19" t="e">
        <f t="shared" si="14"/>
        <v>#DIV/0!</v>
      </c>
    </row>
    <row r="62" ht="15" hidden="1">
      <c r="C62">
        <f>SUM(C56:C61)</f>
        <v>0</v>
      </c>
    </row>
    <row r="63" ht="15" hidden="1"/>
    <row r="64" ht="15" hidden="1"/>
    <row r="65" ht="15" hidden="1"/>
  </sheetData>
  <sheetProtection/>
  <mergeCells count="62"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8:D48"/>
    <mergeCell ref="B49:D49"/>
    <mergeCell ref="B50:D50"/>
    <mergeCell ref="B51:D51"/>
    <mergeCell ref="B40:D40"/>
    <mergeCell ref="B41:D41"/>
    <mergeCell ref="B42:D42"/>
    <mergeCell ref="B43:D43"/>
    <mergeCell ref="B44:D44"/>
    <mergeCell ref="B45:D45"/>
    <mergeCell ref="A1:G1"/>
    <mergeCell ref="AP1:AW1"/>
    <mergeCell ref="B52:D52"/>
    <mergeCell ref="B53:D53"/>
    <mergeCell ref="B54:D54"/>
    <mergeCell ref="E3:E4"/>
    <mergeCell ref="F3:F4"/>
    <mergeCell ref="G3:G4"/>
    <mergeCell ref="B46:D46"/>
    <mergeCell ref="B47:D47"/>
    <mergeCell ref="H46:I47"/>
    <mergeCell ref="J46:L47"/>
    <mergeCell ref="H48:I49"/>
    <mergeCell ref="J48:L49"/>
    <mergeCell ref="H50:I51"/>
    <mergeCell ref="J50:L51"/>
  </mergeCells>
  <dataValidations count="1">
    <dataValidation type="list" allowBlank="1" showInputMessage="1" showErrorMessage="1" sqref="C2">
      <formula1>"1º,2º,3º,4º,5º,6º,7º,8º"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183" scale="67" r:id="rId6"/>
  <headerFooter>
    <oddHeader>&amp;L&amp;G</oddHeader>
  </headerFooter>
  <rowBreaks count="1" manualBreakCount="1">
    <brk id="69" max="24" man="1"/>
  </rowBreaks>
  <customProperties>
    <customPr name="DVSECTIONID" r:id="rId7"/>
  </customProperties>
  <drawing r:id="rId4"/>
  <legacyDrawing r:id="rId2"/>
  <legacyDrawingHF r:id="rId5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8"/>
  <sheetViews>
    <sheetView zoomScalePageLayoutView="0" workbookViewId="0" topLeftCell="A1">
      <selection activeCell="CD13" sqref="CD13"/>
    </sheetView>
  </sheetViews>
  <sheetFormatPr defaultColWidth="11.421875" defaultRowHeight="15"/>
  <sheetData>
    <row r="1" spans="1:256" ht="15">
      <c r="A1" t="e">
        <f>IF('VEL-LECT'!1:1,"AAAAAHL1tgA=",0)</f>
        <v>#VALUE!</v>
      </c>
      <c r="B1" t="e">
        <f>AND('VEL-LECT'!A1,"AAAAAHL1tgE=")</f>
        <v>#VALUE!</v>
      </c>
      <c r="C1" t="e">
        <f>AND('VEL-LECT'!B1,"AAAAAHL1tgI=")</f>
        <v>#VALUE!</v>
      </c>
      <c r="D1" t="e">
        <f>AND('VEL-LECT'!C1,"AAAAAHL1tgM=")</f>
        <v>#VALUE!</v>
      </c>
      <c r="E1" t="e">
        <f>AND('VEL-LECT'!D1,"AAAAAHL1tgQ=")</f>
        <v>#VALUE!</v>
      </c>
      <c r="F1" t="e">
        <f>AND('VEL-LECT'!E1,"AAAAAHL1tgU=")</f>
        <v>#VALUE!</v>
      </c>
      <c r="G1" t="e">
        <f>AND('VEL-LECT'!F1,"AAAAAHL1tgY=")</f>
        <v>#VALUE!</v>
      </c>
      <c r="H1" t="e">
        <f>AND('VEL-LECT'!G1,"AAAAAHL1tgc=")</f>
        <v>#VALUE!</v>
      </c>
      <c r="I1" t="e">
        <f>AND('VEL-LECT'!H1,"AAAAAHL1tgg=")</f>
        <v>#VALUE!</v>
      </c>
      <c r="J1" t="e">
        <f>AND('VEL-LECT'!I1,"AAAAAHL1tgk=")</f>
        <v>#VALUE!</v>
      </c>
      <c r="K1" t="e">
        <f>AND('VEL-LECT'!J1,"AAAAAHL1tgo=")</f>
        <v>#VALUE!</v>
      </c>
      <c r="L1" t="e">
        <f>AND('VEL-LECT'!K1,"AAAAAHL1tgs=")</f>
        <v>#VALUE!</v>
      </c>
      <c r="M1" t="e">
        <f>AND('VEL-LECT'!L1,"AAAAAHL1tgw=")</f>
        <v>#VALUE!</v>
      </c>
      <c r="N1" t="e">
        <f>AND('VEL-LECT'!M1,"AAAAAHL1tg0=")</f>
        <v>#VALUE!</v>
      </c>
      <c r="O1" t="e">
        <f>AND('VEL-LECT'!N1,"AAAAAHL1tg4=")</f>
        <v>#VALUE!</v>
      </c>
      <c r="P1" t="e">
        <f>AND('VEL-LECT'!O1,"AAAAAHL1tg8=")</f>
        <v>#VALUE!</v>
      </c>
      <c r="Q1" t="e">
        <f>AND('VEL-LECT'!P1,"AAAAAHL1thA=")</f>
        <v>#VALUE!</v>
      </c>
      <c r="R1" t="e">
        <f>AND('VEL-LECT'!Q1,"AAAAAHL1thE=")</f>
        <v>#VALUE!</v>
      </c>
      <c r="S1" t="e">
        <f>AND('VEL-LECT'!R1,"AAAAAHL1thI=")</f>
        <v>#VALUE!</v>
      </c>
      <c r="T1" t="e">
        <f>AND('VEL-LECT'!S1,"AAAAAHL1thM=")</f>
        <v>#VALUE!</v>
      </c>
      <c r="U1" t="e">
        <f>AND('VEL-LECT'!T1,"AAAAAHL1thQ=")</f>
        <v>#VALUE!</v>
      </c>
      <c r="V1" t="e">
        <f>AND('VEL-LECT'!U1,"AAAAAHL1thU=")</f>
        <v>#VALUE!</v>
      </c>
      <c r="W1" t="e">
        <f>AND('VEL-LECT'!V1,"AAAAAHL1thY=")</f>
        <v>#VALUE!</v>
      </c>
      <c r="X1" t="e">
        <f>AND('VEL-LECT'!W1,"AAAAAHL1thc=")</f>
        <v>#VALUE!</v>
      </c>
      <c r="Y1" t="e">
        <f>AND('VEL-LECT'!X1,"AAAAAHL1thg=")</f>
        <v>#VALUE!</v>
      </c>
      <c r="Z1" t="e">
        <f>AND('VEL-LECT'!Y1,"AAAAAHL1thk=")</f>
        <v>#VALUE!</v>
      </c>
      <c r="AA1" t="e">
        <f>AND('VEL-LECT'!Z1,"AAAAAHL1tho=")</f>
        <v>#VALUE!</v>
      </c>
      <c r="AB1" t="e">
        <f>AND('VEL-LECT'!AA1,"AAAAAHL1ths=")</f>
        <v>#VALUE!</v>
      </c>
      <c r="AC1" t="e">
        <f>AND('VEL-LECT'!AB1,"AAAAAHL1thw=")</f>
        <v>#VALUE!</v>
      </c>
      <c r="AD1" t="e">
        <f>AND('VEL-LECT'!AC1,"AAAAAHL1th0=")</f>
        <v>#VALUE!</v>
      </c>
      <c r="AE1" t="e">
        <f>AND('VEL-LECT'!AD1,"AAAAAHL1th4=")</f>
        <v>#VALUE!</v>
      </c>
      <c r="AF1" t="e">
        <f>AND('VEL-LECT'!AE1,"AAAAAHL1th8=")</f>
        <v>#VALUE!</v>
      </c>
      <c r="AG1" t="e">
        <f>AND('VEL-LECT'!AF1,"AAAAAHL1tiA=")</f>
        <v>#VALUE!</v>
      </c>
      <c r="AH1" t="e">
        <f>AND('VEL-LECT'!AG1,"AAAAAHL1tiE=")</f>
        <v>#VALUE!</v>
      </c>
      <c r="AI1" t="e">
        <f>AND('VEL-LECT'!AH1,"AAAAAHL1tiI=")</f>
        <v>#VALUE!</v>
      </c>
      <c r="AJ1" t="e">
        <f>AND('VEL-LECT'!AI1,"AAAAAHL1tiM=")</f>
        <v>#VALUE!</v>
      </c>
      <c r="AK1" t="e">
        <f>AND('VEL-LECT'!AJ1,"AAAAAHL1tiQ=")</f>
        <v>#VALUE!</v>
      </c>
      <c r="AL1" t="e">
        <f>AND('VEL-LECT'!AK1,"AAAAAHL1tiU=")</f>
        <v>#VALUE!</v>
      </c>
      <c r="AM1" t="e">
        <f>AND('VEL-LECT'!AL1,"AAAAAHL1tiY=")</f>
        <v>#VALUE!</v>
      </c>
      <c r="AN1" t="e">
        <f>AND('VEL-LECT'!AM1,"AAAAAHL1tic=")</f>
        <v>#VALUE!</v>
      </c>
      <c r="AO1" t="e">
        <f>AND('VEL-LECT'!AN1,"AAAAAHL1tig=")</f>
        <v>#VALUE!</v>
      </c>
      <c r="AP1" t="e">
        <f>AND('VEL-LECT'!AO1,"AAAAAHL1tik=")</f>
        <v>#VALUE!</v>
      </c>
      <c r="AQ1" t="e">
        <f>AND('VEL-LECT'!AP1,"AAAAAHL1tio=")</f>
        <v>#VALUE!</v>
      </c>
      <c r="AR1" t="e">
        <f>AND('VEL-LECT'!AQ1,"AAAAAHL1tis=")</f>
        <v>#VALUE!</v>
      </c>
      <c r="AS1" t="e">
        <f>AND('VEL-LECT'!AR1,"AAAAAHL1tiw=")</f>
        <v>#VALUE!</v>
      </c>
      <c r="AT1" t="e">
        <f>AND('VEL-LECT'!AS1,"AAAAAHL1ti0=")</f>
        <v>#VALUE!</v>
      </c>
      <c r="AU1" t="e">
        <f>AND('VEL-LECT'!AT1,"AAAAAHL1ti4=")</f>
        <v>#VALUE!</v>
      </c>
      <c r="AV1" t="e">
        <f>AND('VEL-LECT'!AU1,"AAAAAHL1ti8=")</f>
        <v>#VALUE!</v>
      </c>
      <c r="AW1" t="e">
        <f>AND('VEL-LECT'!AV1,"AAAAAHL1tjA=")</f>
        <v>#VALUE!</v>
      </c>
      <c r="AX1" t="e">
        <f>AND('VEL-LECT'!AW1,"AAAAAHL1tjE=")</f>
        <v>#VALUE!</v>
      </c>
      <c r="AY1">
        <f>IF('VEL-LECT'!2:2,"AAAAAHL1tjI=",0)</f>
        <v>0</v>
      </c>
      <c r="AZ1" t="e">
        <f>AND('VEL-LECT'!A2,"AAAAAHL1tjM=")</f>
        <v>#VALUE!</v>
      </c>
      <c r="BA1" t="e">
        <f>AND('VEL-LECT'!B2,"AAAAAHL1tjQ=")</f>
        <v>#VALUE!</v>
      </c>
      <c r="BB1" t="e">
        <f>AND('VEL-LECT'!C2,"AAAAAHL1tjU=")</f>
        <v>#VALUE!</v>
      </c>
      <c r="BC1" t="e">
        <f>AND('VEL-LECT'!D2,"AAAAAHL1tjY=")</f>
        <v>#VALUE!</v>
      </c>
      <c r="BD1" t="e">
        <f>AND('VEL-LECT'!E2,"AAAAAHL1tjc=")</f>
        <v>#VALUE!</v>
      </c>
      <c r="BE1" t="e">
        <f>AND('VEL-LECT'!F2,"AAAAAHL1tjg=")</f>
        <v>#VALUE!</v>
      </c>
      <c r="BF1" t="e">
        <f>AND('VEL-LECT'!G2,"AAAAAHL1tjk=")</f>
        <v>#VALUE!</v>
      </c>
      <c r="BG1" t="e">
        <f>AND('VEL-LECT'!H2,"AAAAAHL1tjo=")</f>
        <v>#VALUE!</v>
      </c>
      <c r="BH1" t="e">
        <f>AND('VEL-LECT'!I2,"AAAAAHL1tjs=")</f>
        <v>#VALUE!</v>
      </c>
      <c r="BI1" t="e">
        <f>AND('VEL-LECT'!J2,"AAAAAHL1tjw=")</f>
        <v>#VALUE!</v>
      </c>
      <c r="BJ1" t="e">
        <f>AND('VEL-LECT'!K2,"AAAAAHL1tj0=")</f>
        <v>#VALUE!</v>
      </c>
      <c r="BK1" t="e">
        <f>AND('VEL-LECT'!L2,"AAAAAHL1tj4=")</f>
        <v>#VALUE!</v>
      </c>
      <c r="BL1" t="e">
        <f>AND('VEL-LECT'!M2,"AAAAAHL1tj8=")</f>
        <v>#VALUE!</v>
      </c>
      <c r="BM1" t="e">
        <f>AND('VEL-LECT'!N2,"AAAAAHL1tkA=")</f>
        <v>#VALUE!</v>
      </c>
      <c r="BN1" t="e">
        <f>AND('VEL-LECT'!O2,"AAAAAHL1tkE=")</f>
        <v>#VALUE!</v>
      </c>
      <c r="BO1" t="e">
        <f>AND('VEL-LECT'!P2,"AAAAAHL1tkI=")</f>
        <v>#VALUE!</v>
      </c>
      <c r="BP1" t="e">
        <f>AND('VEL-LECT'!Q2,"AAAAAHL1tkM=")</f>
        <v>#VALUE!</v>
      </c>
      <c r="BQ1" t="e">
        <f>AND('VEL-LECT'!R2,"AAAAAHL1tkQ=")</f>
        <v>#VALUE!</v>
      </c>
      <c r="BR1" t="e">
        <f>AND('VEL-LECT'!S2,"AAAAAHL1tkU=")</f>
        <v>#VALUE!</v>
      </c>
      <c r="BS1" t="e">
        <f>AND('VEL-LECT'!T2,"AAAAAHL1tkY=")</f>
        <v>#VALUE!</v>
      </c>
      <c r="BT1" t="e">
        <f>AND('VEL-LECT'!U2,"AAAAAHL1tkc=")</f>
        <v>#VALUE!</v>
      </c>
      <c r="BU1" t="e">
        <f>AND('VEL-LECT'!V2,"AAAAAHL1tkg=")</f>
        <v>#VALUE!</v>
      </c>
      <c r="BV1" t="e">
        <f>AND('VEL-LECT'!W2,"AAAAAHL1tkk=")</f>
        <v>#VALUE!</v>
      </c>
      <c r="BW1" t="e">
        <f>AND('VEL-LECT'!X2,"AAAAAHL1tko=")</f>
        <v>#VALUE!</v>
      </c>
      <c r="BX1" t="e">
        <f>AND('VEL-LECT'!Y2,"AAAAAHL1tks=")</f>
        <v>#VALUE!</v>
      </c>
      <c r="BY1" t="e">
        <f>AND('VEL-LECT'!Z2,"AAAAAHL1tkw=")</f>
        <v>#VALUE!</v>
      </c>
      <c r="BZ1" t="e">
        <f>AND('VEL-LECT'!AA2,"AAAAAHL1tk0=")</f>
        <v>#VALUE!</v>
      </c>
      <c r="CA1" t="e">
        <f>AND('VEL-LECT'!AB2,"AAAAAHL1tk4=")</f>
        <v>#VALUE!</v>
      </c>
      <c r="CB1" t="e">
        <f>AND('VEL-LECT'!AC2,"AAAAAHL1tk8=")</f>
        <v>#VALUE!</v>
      </c>
      <c r="CC1" t="e">
        <f>AND('VEL-LECT'!AD2,"AAAAAHL1tlA=")</f>
        <v>#VALUE!</v>
      </c>
      <c r="CD1" t="e">
        <f>AND('VEL-LECT'!AE2,"AAAAAHL1tlE=")</f>
        <v>#VALUE!</v>
      </c>
      <c r="CE1" t="e">
        <f>AND('VEL-LECT'!AF2,"AAAAAHL1tlI=")</f>
        <v>#VALUE!</v>
      </c>
      <c r="CF1" t="e">
        <f>AND('VEL-LECT'!AG2,"AAAAAHL1tlM=")</f>
        <v>#VALUE!</v>
      </c>
      <c r="CG1" t="e">
        <f>AND('VEL-LECT'!AH2,"AAAAAHL1tlQ=")</f>
        <v>#VALUE!</v>
      </c>
      <c r="CH1" t="e">
        <f>AND('VEL-LECT'!AI2,"AAAAAHL1tlU=")</f>
        <v>#VALUE!</v>
      </c>
      <c r="CI1" t="e">
        <f>AND('VEL-LECT'!AJ2,"AAAAAHL1tlY=")</f>
        <v>#VALUE!</v>
      </c>
      <c r="CJ1" t="e">
        <f>AND('VEL-LECT'!AK2,"AAAAAHL1tlc=")</f>
        <v>#VALUE!</v>
      </c>
      <c r="CK1" t="e">
        <f>AND('VEL-LECT'!AL2,"AAAAAHL1tlg=")</f>
        <v>#VALUE!</v>
      </c>
      <c r="CL1" t="e">
        <f>AND('VEL-LECT'!AM2,"AAAAAHL1tlk=")</f>
        <v>#VALUE!</v>
      </c>
      <c r="CM1" t="e">
        <f>AND('VEL-LECT'!AN2,"AAAAAHL1tlo=")</f>
        <v>#VALUE!</v>
      </c>
      <c r="CN1" t="e">
        <f>AND('VEL-LECT'!AO2,"AAAAAHL1tls=")</f>
        <v>#VALUE!</v>
      </c>
      <c r="CO1" t="e">
        <f>AND('VEL-LECT'!AP2,"AAAAAHL1tlw=")</f>
        <v>#VALUE!</v>
      </c>
      <c r="CP1" t="e">
        <f>AND('VEL-LECT'!AQ2,"AAAAAHL1tl0=")</f>
        <v>#VALUE!</v>
      </c>
      <c r="CQ1" t="e">
        <f>AND('VEL-LECT'!AR2,"AAAAAHL1tl4=")</f>
        <v>#VALUE!</v>
      </c>
      <c r="CR1" t="e">
        <f>AND('VEL-LECT'!AS2,"AAAAAHL1tl8=")</f>
        <v>#VALUE!</v>
      </c>
      <c r="CS1" t="e">
        <f>AND('VEL-LECT'!AT2,"AAAAAHL1tmA=")</f>
        <v>#VALUE!</v>
      </c>
      <c r="CT1" t="e">
        <f>AND('VEL-LECT'!AU2,"AAAAAHL1tmE=")</f>
        <v>#VALUE!</v>
      </c>
      <c r="CU1" t="e">
        <f>AND('VEL-LECT'!AV2,"AAAAAHL1tmI=")</f>
        <v>#VALUE!</v>
      </c>
      <c r="CV1" t="e">
        <f>AND('VEL-LECT'!AW2,"AAAAAHL1tmM=")</f>
        <v>#VALUE!</v>
      </c>
      <c r="CW1">
        <f>IF('VEL-LECT'!3:3,"AAAAAHL1tmQ=",0)</f>
        <v>0</v>
      </c>
      <c r="CX1" t="e">
        <f>AND('VEL-LECT'!A3,"AAAAAHL1tmU=")</f>
        <v>#VALUE!</v>
      </c>
      <c r="CY1" t="e">
        <f>AND('VEL-LECT'!B3,"AAAAAHL1tmY=")</f>
        <v>#VALUE!</v>
      </c>
      <c r="CZ1" t="e">
        <f>AND('VEL-LECT'!C3,"AAAAAHL1tmc=")</f>
        <v>#VALUE!</v>
      </c>
      <c r="DA1" t="e">
        <f>AND('VEL-LECT'!D3,"AAAAAHL1tmg=")</f>
        <v>#VALUE!</v>
      </c>
      <c r="DB1" t="e">
        <f>AND('VEL-LECT'!E3,"AAAAAHL1tmk=")</f>
        <v>#VALUE!</v>
      </c>
      <c r="DC1" t="e">
        <f>AND('VEL-LECT'!F3,"AAAAAHL1tmo=")</f>
        <v>#VALUE!</v>
      </c>
      <c r="DD1" t="e">
        <f>AND('VEL-LECT'!G3,"AAAAAHL1tms=")</f>
        <v>#VALUE!</v>
      </c>
      <c r="DE1" t="e">
        <f>AND('VEL-LECT'!H3,"AAAAAHL1tmw=")</f>
        <v>#VALUE!</v>
      </c>
      <c r="DF1" t="e">
        <f>AND('VEL-LECT'!I3,"AAAAAHL1tm0=")</f>
        <v>#VALUE!</v>
      </c>
      <c r="DG1" t="e">
        <f>AND('VEL-LECT'!J3,"AAAAAHL1tm4=")</f>
        <v>#VALUE!</v>
      </c>
      <c r="DH1" t="e">
        <f>AND('VEL-LECT'!K3,"AAAAAHL1tm8=")</f>
        <v>#VALUE!</v>
      </c>
      <c r="DI1" t="e">
        <f>AND('VEL-LECT'!L3,"AAAAAHL1tnA=")</f>
        <v>#VALUE!</v>
      </c>
      <c r="DJ1" t="e">
        <f>AND('VEL-LECT'!M3,"AAAAAHL1tnE=")</f>
        <v>#VALUE!</v>
      </c>
      <c r="DK1" t="e">
        <f>AND('VEL-LECT'!N3,"AAAAAHL1tnI=")</f>
        <v>#VALUE!</v>
      </c>
      <c r="DL1" t="e">
        <f>AND('VEL-LECT'!O3,"AAAAAHL1tnM=")</f>
        <v>#VALUE!</v>
      </c>
      <c r="DM1" t="e">
        <f>AND('VEL-LECT'!P3,"AAAAAHL1tnQ=")</f>
        <v>#VALUE!</v>
      </c>
      <c r="DN1" t="e">
        <f>AND('VEL-LECT'!Q3,"AAAAAHL1tnU=")</f>
        <v>#VALUE!</v>
      </c>
      <c r="DO1" t="e">
        <f>AND('VEL-LECT'!R3,"AAAAAHL1tnY=")</f>
        <v>#VALUE!</v>
      </c>
      <c r="DP1" t="e">
        <f>AND('VEL-LECT'!S3,"AAAAAHL1tnc=")</f>
        <v>#VALUE!</v>
      </c>
      <c r="DQ1" t="e">
        <f>AND('VEL-LECT'!T3,"AAAAAHL1tng=")</f>
        <v>#VALUE!</v>
      </c>
      <c r="DR1" t="e">
        <f>AND('VEL-LECT'!U3,"AAAAAHL1tnk=")</f>
        <v>#VALUE!</v>
      </c>
      <c r="DS1" t="e">
        <f>AND('VEL-LECT'!V3,"AAAAAHL1tno=")</f>
        <v>#VALUE!</v>
      </c>
      <c r="DT1" t="e">
        <f>AND('VEL-LECT'!W3,"AAAAAHL1tns=")</f>
        <v>#VALUE!</v>
      </c>
      <c r="DU1" t="e">
        <f>AND('VEL-LECT'!X3,"AAAAAHL1tnw=")</f>
        <v>#VALUE!</v>
      </c>
      <c r="DV1" t="e">
        <f>AND('VEL-LECT'!Y3,"AAAAAHL1tn0=")</f>
        <v>#VALUE!</v>
      </c>
      <c r="DW1" t="e">
        <f>AND('VEL-LECT'!Z3,"AAAAAHL1tn4=")</f>
        <v>#VALUE!</v>
      </c>
      <c r="DX1" t="e">
        <f>AND('VEL-LECT'!AA3,"AAAAAHL1tn8=")</f>
        <v>#VALUE!</v>
      </c>
      <c r="DY1" t="e">
        <f>AND('VEL-LECT'!AB3,"AAAAAHL1toA=")</f>
        <v>#VALUE!</v>
      </c>
      <c r="DZ1" t="e">
        <f>AND('VEL-LECT'!AC3,"AAAAAHL1toE=")</f>
        <v>#VALUE!</v>
      </c>
      <c r="EA1" t="e">
        <f>AND('VEL-LECT'!AD3,"AAAAAHL1toI=")</f>
        <v>#VALUE!</v>
      </c>
      <c r="EB1" t="e">
        <f>AND('VEL-LECT'!AE3,"AAAAAHL1toM=")</f>
        <v>#VALUE!</v>
      </c>
      <c r="EC1" t="e">
        <f>AND('VEL-LECT'!AF3,"AAAAAHL1toQ=")</f>
        <v>#VALUE!</v>
      </c>
      <c r="ED1" t="e">
        <f>AND('VEL-LECT'!AG3,"AAAAAHL1toU=")</f>
        <v>#VALUE!</v>
      </c>
      <c r="EE1" t="e">
        <f>AND('VEL-LECT'!AH3,"AAAAAHL1toY=")</f>
        <v>#VALUE!</v>
      </c>
      <c r="EF1" t="e">
        <f>AND('VEL-LECT'!AI3,"AAAAAHL1toc=")</f>
        <v>#VALUE!</v>
      </c>
      <c r="EG1" t="e">
        <f>AND('VEL-LECT'!AJ3,"AAAAAHL1tog=")</f>
        <v>#VALUE!</v>
      </c>
      <c r="EH1" t="e">
        <f>AND('VEL-LECT'!AK3,"AAAAAHL1tok=")</f>
        <v>#VALUE!</v>
      </c>
      <c r="EI1" t="e">
        <f>AND('VEL-LECT'!AL3,"AAAAAHL1too=")</f>
        <v>#VALUE!</v>
      </c>
      <c r="EJ1" t="e">
        <f>AND('VEL-LECT'!AM3,"AAAAAHL1tos=")</f>
        <v>#VALUE!</v>
      </c>
      <c r="EK1" t="e">
        <f>AND('VEL-LECT'!AN3,"AAAAAHL1tow=")</f>
        <v>#VALUE!</v>
      </c>
      <c r="EL1" t="e">
        <f>AND('VEL-LECT'!AO3,"AAAAAHL1to0=")</f>
        <v>#VALUE!</v>
      </c>
      <c r="EM1" t="e">
        <f>AND('VEL-LECT'!AP3,"AAAAAHL1to4=")</f>
        <v>#VALUE!</v>
      </c>
      <c r="EN1" t="e">
        <f>AND('VEL-LECT'!AQ3,"AAAAAHL1to8=")</f>
        <v>#VALUE!</v>
      </c>
      <c r="EO1" t="e">
        <f>AND('VEL-LECT'!AR3,"AAAAAHL1tpA=")</f>
        <v>#VALUE!</v>
      </c>
      <c r="EP1" t="e">
        <f>AND('VEL-LECT'!AS3,"AAAAAHL1tpE=")</f>
        <v>#VALUE!</v>
      </c>
      <c r="EQ1" t="e">
        <f>AND('VEL-LECT'!AT3,"AAAAAHL1tpI=")</f>
        <v>#VALUE!</v>
      </c>
      <c r="ER1" t="e">
        <f>AND('VEL-LECT'!AU3,"AAAAAHL1tpM=")</f>
        <v>#VALUE!</v>
      </c>
      <c r="ES1" t="e">
        <f>AND('VEL-LECT'!AV3,"AAAAAHL1tpQ=")</f>
        <v>#VALUE!</v>
      </c>
      <c r="ET1" t="e">
        <f>AND('VEL-LECT'!AW3,"AAAAAHL1tpU=")</f>
        <v>#VALUE!</v>
      </c>
      <c r="EU1">
        <f>IF('VEL-LECT'!4:4,"AAAAAHL1tpY=",0)</f>
        <v>0</v>
      </c>
      <c r="EV1" t="e">
        <f>AND('VEL-LECT'!A4,"AAAAAHL1tpc=")</f>
        <v>#VALUE!</v>
      </c>
      <c r="EW1" t="e">
        <f>AND('VEL-LECT'!B4,"AAAAAHL1tpg=")</f>
        <v>#VALUE!</v>
      </c>
      <c r="EX1" t="e">
        <f>AND('VEL-LECT'!C4,"AAAAAHL1tpk=")</f>
        <v>#VALUE!</v>
      </c>
      <c r="EY1" t="e">
        <f>AND('VEL-LECT'!D4,"AAAAAHL1tpo=")</f>
        <v>#VALUE!</v>
      </c>
      <c r="EZ1" t="e">
        <f>AND('VEL-LECT'!E4,"AAAAAHL1tps=")</f>
        <v>#VALUE!</v>
      </c>
      <c r="FA1" t="e">
        <f>AND('VEL-LECT'!F4,"AAAAAHL1tpw=")</f>
        <v>#VALUE!</v>
      </c>
      <c r="FB1" t="e">
        <f>AND('VEL-LECT'!G4,"AAAAAHL1tp0=")</f>
        <v>#VALUE!</v>
      </c>
      <c r="FC1" t="e">
        <f>AND('VEL-LECT'!H4,"AAAAAHL1tp4=")</f>
        <v>#VALUE!</v>
      </c>
      <c r="FD1" t="e">
        <f>AND('VEL-LECT'!I4,"AAAAAHL1tp8=")</f>
        <v>#VALUE!</v>
      </c>
      <c r="FE1" t="e">
        <f>AND('VEL-LECT'!J4,"AAAAAHL1tqA=")</f>
        <v>#VALUE!</v>
      </c>
      <c r="FF1" t="e">
        <f>AND('VEL-LECT'!K4,"AAAAAHL1tqE=")</f>
        <v>#VALUE!</v>
      </c>
      <c r="FG1" t="e">
        <f>AND('VEL-LECT'!L4,"AAAAAHL1tqI=")</f>
        <v>#VALUE!</v>
      </c>
      <c r="FH1" t="e">
        <f>AND('VEL-LECT'!M4,"AAAAAHL1tqM=")</f>
        <v>#VALUE!</v>
      </c>
      <c r="FI1" t="e">
        <f>AND('VEL-LECT'!N4,"AAAAAHL1tqQ=")</f>
        <v>#VALUE!</v>
      </c>
      <c r="FJ1" t="e">
        <f>AND('VEL-LECT'!O4,"AAAAAHL1tqU=")</f>
        <v>#VALUE!</v>
      </c>
      <c r="FK1" t="e">
        <f>AND('VEL-LECT'!P4,"AAAAAHL1tqY=")</f>
        <v>#VALUE!</v>
      </c>
      <c r="FL1" t="e">
        <f>AND('VEL-LECT'!Q4,"AAAAAHL1tqc=")</f>
        <v>#VALUE!</v>
      </c>
      <c r="FM1" t="e">
        <f>AND('VEL-LECT'!R4,"AAAAAHL1tqg=")</f>
        <v>#VALUE!</v>
      </c>
      <c r="FN1" t="e">
        <f>AND('VEL-LECT'!S4,"AAAAAHL1tqk=")</f>
        <v>#VALUE!</v>
      </c>
      <c r="FO1" t="e">
        <f>AND('VEL-LECT'!T4,"AAAAAHL1tqo=")</f>
        <v>#VALUE!</v>
      </c>
      <c r="FP1" t="e">
        <f>AND('VEL-LECT'!U4,"AAAAAHL1tqs=")</f>
        <v>#VALUE!</v>
      </c>
      <c r="FQ1" t="e">
        <f>AND('VEL-LECT'!V4,"AAAAAHL1tqw=")</f>
        <v>#VALUE!</v>
      </c>
      <c r="FR1" t="e">
        <f>AND('VEL-LECT'!W4,"AAAAAHL1tq0=")</f>
        <v>#VALUE!</v>
      </c>
      <c r="FS1" t="e">
        <f>AND('VEL-LECT'!X4,"AAAAAHL1tq4=")</f>
        <v>#VALUE!</v>
      </c>
      <c r="FT1" t="e">
        <f>AND('VEL-LECT'!Y4,"AAAAAHL1tq8=")</f>
        <v>#VALUE!</v>
      </c>
      <c r="FU1" t="e">
        <f>AND('VEL-LECT'!Z4,"AAAAAHL1trA=")</f>
        <v>#VALUE!</v>
      </c>
      <c r="FV1" t="e">
        <f>AND('VEL-LECT'!AA4,"AAAAAHL1trE=")</f>
        <v>#VALUE!</v>
      </c>
      <c r="FW1" t="e">
        <f>AND('VEL-LECT'!AB4,"AAAAAHL1trI=")</f>
        <v>#VALUE!</v>
      </c>
      <c r="FX1" t="e">
        <f>AND('VEL-LECT'!AC4,"AAAAAHL1trM=")</f>
        <v>#VALUE!</v>
      </c>
      <c r="FY1" t="e">
        <f>AND('VEL-LECT'!AD4,"AAAAAHL1trQ=")</f>
        <v>#VALUE!</v>
      </c>
      <c r="FZ1" t="e">
        <f>AND('VEL-LECT'!AE4,"AAAAAHL1trU=")</f>
        <v>#VALUE!</v>
      </c>
      <c r="GA1" t="e">
        <f>AND('VEL-LECT'!AF4,"AAAAAHL1trY=")</f>
        <v>#VALUE!</v>
      </c>
      <c r="GB1" t="e">
        <f>AND('VEL-LECT'!AG4,"AAAAAHL1trc=")</f>
        <v>#VALUE!</v>
      </c>
      <c r="GC1" t="e">
        <f>AND('VEL-LECT'!AH4,"AAAAAHL1trg=")</f>
        <v>#VALUE!</v>
      </c>
      <c r="GD1" t="e">
        <f>AND('VEL-LECT'!AI4,"AAAAAHL1trk=")</f>
        <v>#VALUE!</v>
      </c>
      <c r="GE1" t="e">
        <f>AND('VEL-LECT'!AJ4,"AAAAAHL1tro=")</f>
        <v>#VALUE!</v>
      </c>
      <c r="GF1" t="e">
        <f>AND('VEL-LECT'!AK4,"AAAAAHL1trs=")</f>
        <v>#VALUE!</v>
      </c>
      <c r="GG1" t="e">
        <f>AND('VEL-LECT'!AL4,"AAAAAHL1trw=")</f>
        <v>#VALUE!</v>
      </c>
      <c r="GH1" t="e">
        <f>AND('VEL-LECT'!AM4,"AAAAAHL1tr0=")</f>
        <v>#VALUE!</v>
      </c>
      <c r="GI1" t="e">
        <f>AND('VEL-LECT'!AN4,"AAAAAHL1tr4=")</f>
        <v>#VALUE!</v>
      </c>
      <c r="GJ1" t="e">
        <f>AND('VEL-LECT'!AO4,"AAAAAHL1tr8=")</f>
        <v>#VALUE!</v>
      </c>
      <c r="GK1" t="e">
        <f>AND('VEL-LECT'!AP4,"AAAAAHL1tsA=")</f>
        <v>#VALUE!</v>
      </c>
      <c r="GL1" t="e">
        <f>AND('VEL-LECT'!AQ4,"AAAAAHL1tsE=")</f>
        <v>#VALUE!</v>
      </c>
      <c r="GM1" t="e">
        <f>AND('VEL-LECT'!AR4,"AAAAAHL1tsI=")</f>
        <v>#VALUE!</v>
      </c>
      <c r="GN1" t="e">
        <f>AND('VEL-LECT'!AS4,"AAAAAHL1tsM=")</f>
        <v>#VALUE!</v>
      </c>
      <c r="GO1" t="e">
        <f>AND('VEL-LECT'!AT4,"AAAAAHL1tsQ=")</f>
        <v>#VALUE!</v>
      </c>
      <c r="GP1" t="e">
        <f>AND('VEL-LECT'!AU4,"AAAAAHL1tsU=")</f>
        <v>#VALUE!</v>
      </c>
      <c r="GQ1" t="e">
        <f>AND('VEL-LECT'!AV4,"AAAAAHL1tsY=")</f>
        <v>#VALUE!</v>
      </c>
      <c r="GR1" t="e">
        <f>AND('VEL-LECT'!AW4,"AAAAAHL1tsc=")</f>
        <v>#VALUE!</v>
      </c>
      <c r="GS1">
        <f>IF('VEL-LECT'!5:5,"AAAAAHL1tsg=",0)</f>
        <v>0</v>
      </c>
      <c r="GT1" t="e">
        <f>AND('VEL-LECT'!A5,"AAAAAHL1tsk=")</f>
        <v>#VALUE!</v>
      </c>
      <c r="GU1" t="e">
        <f>AND('VEL-LECT'!B5,"AAAAAHL1tso=")</f>
        <v>#VALUE!</v>
      </c>
      <c r="GV1" t="e">
        <f>AND('VEL-LECT'!C5,"AAAAAHL1tss=")</f>
        <v>#VALUE!</v>
      </c>
      <c r="GW1" t="e">
        <f>AND('VEL-LECT'!D5,"AAAAAHL1tsw=")</f>
        <v>#VALUE!</v>
      </c>
      <c r="GX1" t="e">
        <f>AND('VEL-LECT'!E5,"AAAAAHL1ts0=")</f>
        <v>#VALUE!</v>
      </c>
      <c r="GY1" t="e">
        <f>AND('VEL-LECT'!F5,"AAAAAHL1ts4=")</f>
        <v>#VALUE!</v>
      </c>
      <c r="GZ1" t="e">
        <f>AND('VEL-LECT'!G5,"AAAAAHL1ts8=")</f>
        <v>#VALUE!</v>
      </c>
      <c r="HA1" t="e">
        <f>AND('VEL-LECT'!H5,"AAAAAHL1ttA=")</f>
        <v>#VALUE!</v>
      </c>
      <c r="HB1" t="e">
        <f>AND('VEL-LECT'!I5,"AAAAAHL1ttE=")</f>
        <v>#VALUE!</v>
      </c>
      <c r="HC1" t="e">
        <f>AND('VEL-LECT'!J5,"AAAAAHL1ttI=")</f>
        <v>#VALUE!</v>
      </c>
      <c r="HD1" t="e">
        <f>AND('VEL-LECT'!K5,"AAAAAHL1ttM=")</f>
        <v>#VALUE!</v>
      </c>
      <c r="HE1" t="e">
        <f>AND('VEL-LECT'!L5,"AAAAAHL1ttQ=")</f>
        <v>#VALUE!</v>
      </c>
      <c r="HF1" t="e">
        <f>AND('VEL-LECT'!M5,"AAAAAHL1ttU=")</f>
        <v>#VALUE!</v>
      </c>
      <c r="HG1" t="e">
        <f>AND('VEL-LECT'!N5,"AAAAAHL1ttY=")</f>
        <v>#VALUE!</v>
      </c>
      <c r="HH1" t="e">
        <f>AND('VEL-LECT'!O5,"AAAAAHL1ttc=")</f>
        <v>#VALUE!</v>
      </c>
      <c r="HI1" t="e">
        <f>AND('VEL-LECT'!P5,"AAAAAHL1ttg=")</f>
        <v>#VALUE!</v>
      </c>
      <c r="HJ1" t="e">
        <f>AND('VEL-LECT'!Q5,"AAAAAHL1ttk=")</f>
        <v>#VALUE!</v>
      </c>
      <c r="HK1" t="e">
        <f>AND('VEL-LECT'!R5,"AAAAAHL1tto=")</f>
        <v>#VALUE!</v>
      </c>
      <c r="HL1" t="e">
        <f>AND('VEL-LECT'!S5,"AAAAAHL1tts=")</f>
        <v>#VALUE!</v>
      </c>
      <c r="HM1" t="e">
        <f>AND('VEL-LECT'!T5,"AAAAAHL1ttw=")</f>
        <v>#VALUE!</v>
      </c>
      <c r="HN1" t="e">
        <f>AND('VEL-LECT'!U5,"AAAAAHL1tt0=")</f>
        <v>#VALUE!</v>
      </c>
      <c r="HO1" t="e">
        <f>AND('VEL-LECT'!V5,"AAAAAHL1tt4=")</f>
        <v>#VALUE!</v>
      </c>
      <c r="HP1" t="e">
        <f>AND('VEL-LECT'!W5,"AAAAAHL1tt8=")</f>
        <v>#VALUE!</v>
      </c>
      <c r="HQ1" t="e">
        <f>AND('VEL-LECT'!X5,"AAAAAHL1tuA=")</f>
        <v>#VALUE!</v>
      </c>
      <c r="HR1" t="e">
        <f>AND('VEL-LECT'!Y5,"AAAAAHL1tuE=")</f>
        <v>#VALUE!</v>
      </c>
      <c r="HS1" t="e">
        <f>AND('VEL-LECT'!Z5,"AAAAAHL1tuI=")</f>
        <v>#VALUE!</v>
      </c>
      <c r="HT1" t="e">
        <f>AND('VEL-LECT'!AA5,"AAAAAHL1tuM=")</f>
        <v>#VALUE!</v>
      </c>
      <c r="HU1" t="e">
        <f>AND('VEL-LECT'!AB5,"AAAAAHL1tuQ=")</f>
        <v>#VALUE!</v>
      </c>
      <c r="HV1" t="e">
        <f>AND('VEL-LECT'!AC5,"AAAAAHL1tuU=")</f>
        <v>#VALUE!</v>
      </c>
      <c r="HW1" t="e">
        <f>AND('VEL-LECT'!AD5,"AAAAAHL1tuY=")</f>
        <v>#VALUE!</v>
      </c>
      <c r="HX1" t="e">
        <f>AND('VEL-LECT'!AE5,"AAAAAHL1tuc=")</f>
        <v>#VALUE!</v>
      </c>
      <c r="HY1" t="e">
        <f>AND('VEL-LECT'!AF5,"AAAAAHL1tug=")</f>
        <v>#VALUE!</v>
      </c>
      <c r="HZ1" t="e">
        <f>AND('VEL-LECT'!AG5,"AAAAAHL1tuk=")</f>
        <v>#VALUE!</v>
      </c>
      <c r="IA1" t="e">
        <f>AND('VEL-LECT'!AH5,"AAAAAHL1tuo=")</f>
        <v>#VALUE!</v>
      </c>
      <c r="IB1" t="e">
        <f>AND('VEL-LECT'!AI5,"AAAAAHL1tus=")</f>
        <v>#VALUE!</v>
      </c>
      <c r="IC1" t="e">
        <f>AND('VEL-LECT'!AJ5,"AAAAAHL1tuw=")</f>
        <v>#VALUE!</v>
      </c>
      <c r="ID1" t="e">
        <f>AND('VEL-LECT'!AK5,"AAAAAHL1tu0=")</f>
        <v>#VALUE!</v>
      </c>
      <c r="IE1" t="e">
        <f>AND('VEL-LECT'!AL5,"AAAAAHL1tu4=")</f>
        <v>#VALUE!</v>
      </c>
      <c r="IF1" t="e">
        <f>AND('VEL-LECT'!AM5,"AAAAAHL1tu8=")</f>
        <v>#VALUE!</v>
      </c>
      <c r="IG1" t="e">
        <f>AND('VEL-LECT'!AN5,"AAAAAHL1tvA=")</f>
        <v>#VALUE!</v>
      </c>
      <c r="IH1" t="e">
        <f>AND('VEL-LECT'!AO5,"AAAAAHL1tvE=")</f>
        <v>#VALUE!</v>
      </c>
      <c r="II1" t="e">
        <f>AND('VEL-LECT'!AP5,"AAAAAHL1tvI=")</f>
        <v>#VALUE!</v>
      </c>
      <c r="IJ1" t="e">
        <f>AND('VEL-LECT'!AQ5,"AAAAAHL1tvM=")</f>
        <v>#VALUE!</v>
      </c>
      <c r="IK1" t="e">
        <f>AND('VEL-LECT'!AR5,"AAAAAHL1tvQ=")</f>
        <v>#VALUE!</v>
      </c>
      <c r="IL1" t="e">
        <f>AND('VEL-LECT'!AS5,"AAAAAHL1tvU=")</f>
        <v>#VALUE!</v>
      </c>
      <c r="IM1" t="e">
        <f>AND('VEL-LECT'!AT5,"AAAAAHL1tvY=")</f>
        <v>#VALUE!</v>
      </c>
      <c r="IN1" t="e">
        <f>AND('VEL-LECT'!AU5,"AAAAAHL1tvc=")</f>
        <v>#VALUE!</v>
      </c>
      <c r="IO1" t="e">
        <f>AND('VEL-LECT'!AV5,"AAAAAHL1tvg=")</f>
        <v>#VALUE!</v>
      </c>
      <c r="IP1" t="e">
        <f>AND('VEL-LECT'!AW5,"AAAAAHL1tvk=")</f>
        <v>#VALUE!</v>
      </c>
      <c r="IQ1">
        <f>IF('VEL-LECT'!6:6,"AAAAAHL1tvo=",0)</f>
        <v>0</v>
      </c>
      <c r="IR1" t="e">
        <f>AND('VEL-LECT'!A6,"AAAAAHL1tvs=")</f>
        <v>#VALUE!</v>
      </c>
      <c r="IS1" t="e">
        <f>AND('VEL-LECT'!B6,"AAAAAHL1tvw=")</f>
        <v>#VALUE!</v>
      </c>
      <c r="IT1" t="e">
        <f>AND('VEL-LECT'!C6,"AAAAAHL1tv0=")</f>
        <v>#VALUE!</v>
      </c>
      <c r="IU1" t="e">
        <f>AND('VEL-LECT'!D6,"AAAAAHL1tv4=")</f>
        <v>#VALUE!</v>
      </c>
      <c r="IV1" t="e">
        <f>AND('VEL-LECT'!E6,"AAAAAHL1tv8=")</f>
        <v>#VALUE!</v>
      </c>
    </row>
    <row r="2" spans="1:256" ht="15">
      <c r="A2" t="e">
        <f>AND('VEL-LECT'!F6,"AAAAAEff3wA=")</f>
        <v>#VALUE!</v>
      </c>
      <c r="B2" t="e">
        <f>AND('VEL-LECT'!G6,"AAAAAEff3wE=")</f>
        <v>#VALUE!</v>
      </c>
      <c r="C2" t="e">
        <f>AND('VEL-LECT'!H6,"AAAAAEff3wI=")</f>
        <v>#VALUE!</v>
      </c>
      <c r="D2" t="e">
        <f>AND('VEL-LECT'!I6,"AAAAAEff3wM=")</f>
        <v>#VALUE!</v>
      </c>
      <c r="E2" t="e">
        <f>AND('VEL-LECT'!J6,"AAAAAEff3wQ=")</f>
        <v>#VALUE!</v>
      </c>
      <c r="F2" t="e">
        <f>AND('VEL-LECT'!K6,"AAAAAEff3wU=")</f>
        <v>#VALUE!</v>
      </c>
      <c r="G2" t="e">
        <f>AND('VEL-LECT'!L6,"AAAAAEff3wY=")</f>
        <v>#VALUE!</v>
      </c>
      <c r="H2" t="e">
        <f>AND('VEL-LECT'!M6,"AAAAAEff3wc=")</f>
        <v>#VALUE!</v>
      </c>
      <c r="I2" t="e">
        <f>AND('VEL-LECT'!N6,"AAAAAEff3wg=")</f>
        <v>#VALUE!</v>
      </c>
      <c r="J2" t="e">
        <f>AND('VEL-LECT'!O6,"AAAAAEff3wk=")</f>
        <v>#VALUE!</v>
      </c>
      <c r="K2" t="e">
        <f>AND('VEL-LECT'!P6,"AAAAAEff3wo=")</f>
        <v>#VALUE!</v>
      </c>
      <c r="L2" t="e">
        <f>AND('VEL-LECT'!Q6,"AAAAAEff3ws=")</f>
        <v>#VALUE!</v>
      </c>
      <c r="M2" t="e">
        <f>AND('VEL-LECT'!R6,"AAAAAEff3ww=")</f>
        <v>#VALUE!</v>
      </c>
      <c r="N2" t="e">
        <f>AND('VEL-LECT'!S6,"AAAAAEff3w0=")</f>
        <v>#VALUE!</v>
      </c>
      <c r="O2" t="e">
        <f>AND('VEL-LECT'!T6,"AAAAAEff3w4=")</f>
        <v>#VALUE!</v>
      </c>
      <c r="P2" t="e">
        <f>AND('VEL-LECT'!U6,"AAAAAEff3w8=")</f>
        <v>#VALUE!</v>
      </c>
      <c r="Q2" t="e">
        <f>AND('VEL-LECT'!V6,"AAAAAEff3xA=")</f>
        <v>#VALUE!</v>
      </c>
      <c r="R2" t="e">
        <f>AND('VEL-LECT'!W6,"AAAAAEff3xE=")</f>
        <v>#VALUE!</v>
      </c>
      <c r="S2" t="e">
        <f>AND('VEL-LECT'!X6,"AAAAAEff3xI=")</f>
        <v>#VALUE!</v>
      </c>
      <c r="T2" t="e">
        <f>AND('VEL-LECT'!Y6,"AAAAAEff3xM=")</f>
        <v>#VALUE!</v>
      </c>
      <c r="U2" t="e">
        <f>AND('VEL-LECT'!Z6,"AAAAAEff3xQ=")</f>
        <v>#VALUE!</v>
      </c>
      <c r="V2" t="e">
        <f>AND('VEL-LECT'!AA6,"AAAAAEff3xU=")</f>
        <v>#VALUE!</v>
      </c>
      <c r="W2" t="e">
        <f>AND('VEL-LECT'!AB6,"AAAAAEff3xY=")</f>
        <v>#VALUE!</v>
      </c>
      <c r="X2" t="e">
        <f>AND('VEL-LECT'!AC6,"AAAAAEff3xc=")</f>
        <v>#VALUE!</v>
      </c>
      <c r="Y2" t="e">
        <f>AND('VEL-LECT'!AD6,"AAAAAEff3xg=")</f>
        <v>#VALUE!</v>
      </c>
      <c r="Z2" t="e">
        <f>AND('VEL-LECT'!AE6,"AAAAAEff3xk=")</f>
        <v>#VALUE!</v>
      </c>
      <c r="AA2" t="e">
        <f>AND('VEL-LECT'!AF6,"AAAAAEff3xo=")</f>
        <v>#VALUE!</v>
      </c>
      <c r="AB2" t="e">
        <f>AND('VEL-LECT'!AG6,"AAAAAEff3xs=")</f>
        <v>#VALUE!</v>
      </c>
      <c r="AC2" t="e">
        <f>AND('VEL-LECT'!AH6,"AAAAAEff3xw=")</f>
        <v>#VALUE!</v>
      </c>
      <c r="AD2" t="e">
        <f>AND('VEL-LECT'!AI6,"AAAAAEff3x0=")</f>
        <v>#VALUE!</v>
      </c>
      <c r="AE2" t="e">
        <f>AND('VEL-LECT'!AJ6,"AAAAAEff3x4=")</f>
        <v>#VALUE!</v>
      </c>
      <c r="AF2" t="e">
        <f>AND('VEL-LECT'!AK6,"AAAAAEff3x8=")</f>
        <v>#VALUE!</v>
      </c>
      <c r="AG2" t="e">
        <f>AND('VEL-LECT'!AL6,"AAAAAEff3yA=")</f>
        <v>#VALUE!</v>
      </c>
      <c r="AH2" t="e">
        <f>AND('VEL-LECT'!AM6,"AAAAAEff3yE=")</f>
        <v>#VALUE!</v>
      </c>
      <c r="AI2" t="e">
        <f>AND('VEL-LECT'!AN6,"AAAAAEff3yI=")</f>
        <v>#VALUE!</v>
      </c>
      <c r="AJ2" t="e">
        <f>AND('VEL-LECT'!AO6,"AAAAAEff3yM=")</f>
        <v>#VALUE!</v>
      </c>
      <c r="AK2" t="e">
        <f>AND('VEL-LECT'!AP6,"AAAAAEff3yQ=")</f>
        <v>#VALUE!</v>
      </c>
      <c r="AL2" t="e">
        <f>AND('VEL-LECT'!AQ6,"AAAAAEff3yU=")</f>
        <v>#VALUE!</v>
      </c>
      <c r="AM2" t="e">
        <f>AND('VEL-LECT'!AR6,"AAAAAEff3yY=")</f>
        <v>#VALUE!</v>
      </c>
      <c r="AN2" t="e">
        <f>AND('VEL-LECT'!AS6,"AAAAAEff3yc=")</f>
        <v>#VALUE!</v>
      </c>
      <c r="AO2" t="e">
        <f>AND('VEL-LECT'!AT6,"AAAAAEff3yg=")</f>
        <v>#VALUE!</v>
      </c>
      <c r="AP2" t="e">
        <f>AND('VEL-LECT'!AU6,"AAAAAEff3yk=")</f>
        <v>#VALUE!</v>
      </c>
      <c r="AQ2" t="e">
        <f>AND('VEL-LECT'!AV6,"AAAAAEff3yo=")</f>
        <v>#VALUE!</v>
      </c>
      <c r="AR2" t="e">
        <f>AND('VEL-LECT'!AW6,"AAAAAEff3ys=")</f>
        <v>#VALUE!</v>
      </c>
      <c r="AS2" t="str">
        <f>IF('VEL-LECT'!7:7,"AAAAAEff3yw=",0)</f>
        <v>AAAAAEff3yw=</v>
      </c>
      <c r="AT2" t="e">
        <f>AND('VEL-LECT'!A7,"AAAAAEff3y0=")</f>
        <v>#VALUE!</v>
      </c>
      <c r="AU2" t="e">
        <f>AND('VEL-LECT'!B7,"AAAAAEff3y4=")</f>
        <v>#VALUE!</v>
      </c>
      <c r="AV2" t="e">
        <f>AND('VEL-LECT'!C7,"AAAAAEff3y8=")</f>
        <v>#VALUE!</v>
      </c>
      <c r="AW2" t="e">
        <f>AND('VEL-LECT'!D7,"AAAAAEff3zA=")</f>
        <v>#VALUE!</v>
      </c>
      <c r="AX2" t="e">
        <f>AND('VEL-LECT'!E7,"AAAAAEff3zE=")</f>
        <v>#VALUE!</v>
      </c>
      <c r="AY2" t="e">
        <f>AND('VEL-LECT'!F7,"AAAAAEff3zI=")</f>
        <v>#VALUE!</v>
      </c>
      <c r="AZ2" t="e">
        <f>AND('VEL-LECT'!G7,"AAAAAEff3zM=")</f>
        <v>#VALUE!</v>
      </c>
      <c r="BA2" t="e">
        <f>AND('VEL-LECT'!H7,"AAAAAEff3zQ=")</f>
        <v>#VALUE!</v>
      </c>
      <c r="BB2" t="e">
        <f>AND('VEL-LECT'!I7,"AAAAAEff3zU=")</f>
        <v>#VALUE!</v>
      </c>
      <c r="BC2" t="e">
        <f>AND('VEL-LECT'!J7,"AAAAAEff3zY=")</f>
        <v>#VALUE!</v>
      </c>
      <c r="BD2" t="e">
        <f>AND('VEL-LECT'!K7,"AAAAAEff3zc=")</f>
        <v>#VALUE!</v>
      </c>
      <c r="BE2" t="e">
        <f>AND('VEL-LECT'!L7,"AAAAAEff3zg=")</f>
        <v>#VALUE!</v>
      </c>
      <c r="BF2" t="e">
        <f>AND('VEL-LECT'!M7,"AAAAAEff3zk=")</f>
        <v>#VALUE!</v>
      </c>
      <c r="BG2" t="e">
        <f>AND('VEL-LECT'!N7,"AAAAAEff3zo=")</f>
        <v>#VALUE!</v>
      </c>
      <c r="BH2" t="e">
        <f>AND('VEL-LECT'!O7,"AAAAAEff3zs=")</f>
        <v>#VALUE!</v>
      </c>
      <c r="BI2" t="e">
        <f>AND('VEL-LECT'!P7,"AAAAAEff3zw=")</f>
        <v>#VALUE!</v>
      </c>
      <c r="BJ2" t="e">
        <f>AND('VEL-LECT'!Q7,"AAAAAEff3z0=")</f>
        <v>#VALUE!</v>
      </c>
      <c r="BK2" t="e">
        <f>AND('VEL-LECT'!R7,"AAAAAEff3z4=")</f>
        <v>#VALUE!</v>
      </c>
      <c r="BL2" t="e">
        <f>AND('VEL-LECT'!S7,"AAAAAEff3z8=")</f>
        <v>#VALUE!</v>
      </c>
      <c r="BM2" t="e">
        <f>AND('VEL-LECT'!T7,"AAAAAEff30A=")</f>
        <v>#VALUE!</v>
      </c>
      <c r="BN2" t="e">
        <f>AND('VEL-LECT'!U7,"AAAAAEff30E=")</f>
        <v>#VALUE!</v>
      </c>
      <c r="BO2" t="e">
        <f>AND('VEL-LECT'!V7,"AAAAAEff30I=")</f>
        <v>#VALUE!</v>
      </c>
      <c r="BP2" t="e">
        <f>AND('VEL-LECT'!W7,"AAAAAEff30M=")</f>
        <v>#VALUE!</v>
      </c>
      <c r="BQ2" t="e">
        <f>AND('VEL-LECT'!X7,"AAAAAEff30Q=")</f>
        <v>#VALUE!</v>
      </c>
      <c r="BR2" t="e">
        <f>AND('VEL-LECT'!Y7,"AAAAAEff30U=")</f>
        <v>#VALUE!</v>
      </c>
      <c r="BS2" t="e">
        <f>AND('VEL-LECT'!Z7,"AAAAAEff30Y=")</f>
        <v>#VALUE!</v>
      </c>
      <c r="BT2" t="e">
        <f>AND('VEL-LECT'!AA7,"AAAAAEff30c=")</f>
        <v>#VALUE!</v>
      </c>
      <c r="BU2" t="e">
        <f>AND('VEL-LECT'!AB7,"AAAAAEff30g=")</f>
        <v>#VALUE!</v>
      </c>
      <c r="BV2" t="e">
        <f>AND('VEL-LECT'!AC7,"AAAAAEff30k=")</f>
        <v>#VALUE!</v>
      </c>
      <c r="BW2" t="e">
        <f>AND('VEL-LECT'!AD7,"AAAAAEff30o=")</f>
        <v>#VALUE!</v>
      </c>
      <c r="BX2" t="e">
        <f>AND('VEL-LECT'!AE7,"AAAAAEff30s=")</f>
        <v>#VALUE!</v>
      </c>
      <c r="BY2" t="e">
        <f>AND('VEL-LECT'!AF7,"AAAAAEff30w=")</f>
        <v>#VALUE!</v>
      </c>
      <c r="BZ2" t="e">
        <f>AND('VEL-LECT'!AG7,"AAAAAEff300=")</f>
        <v>#VALUE!</v>
      </c>
      <c r="CA2" t="e">
        <f>AND('VEL-LECT'!AH7,"AAAAAEff304=")</f>
        <v>#VALUE!</v>
      </c>
      <c r="CB2" t="e">
        <f>AND('VEL-LECT'!AI7,"AAAAAEff308=")</f>
        <v>#VALUE!</v>
      </c>
      <c r="CC2" t="e">
        <f>AND('VEL-LECT'!AJ7,"AAAAAEff31A=")</f>
        <v>#VALUE!</v>
      </c>
      <c r="CD2" t="e">
        <f>AND('VEL-LECT'!AK7,"AAAAAEff31E=")</f>
        <v>#VALUE!</v>
      </c>
      <c r="CE2" t="e">
        <f>AND('VEL-LECT'!AL7,"AAAAAEff31I=")</f>
        <v>#VALUE!</v>
      </c>
      <c r="CF2" t="e">
        <f>AND('VEL-LECT'!AM7,"AAAAAEff31M=")</f>
        <v>#VALUE!</v>
      </c>
      <c r="CG2" t="e">
        <f>AND('VEL-LECT'!AN7,"AAAAAEff31Q=")</f>
        <v>#VALUE!</v>
      </c>
      <c r="CH2" t="e">
        <f>AND('VEL-LECT'!AO7,"AAAAAEff31U=")</f>
        <v>#VALUE!</v>
      </c>
      <c r="CI2" t="e">
        <f>AND('VEL-LECT'!AP7,"AAAAAEff31Y=")</f>
        <v>#VALUE!</v>
      </c>
      <c r="CJ2" t="e">
        <f>AND('VEL-LECT'!AQ7,"AAAAAEff31c=")</f>
        <v>#VALUE!</v>
      </c>
      <c r="CK2" t="e">
        <f>AND('VEL-LECT'!AR7,"AAAAAEff31g=")</f>
        <v>#VALUE!</v>
      </c>
      <c r="CL2" t="e">
        <f>AND('VEL-LECT'!AS7,"AAAAAEff31k=")</f>
        <v>#VALUE!</v>
      </c>
      <c r="CM2" t="e">
        <f>AND('VEL-LECT'!AT7,"AAAAAEff31o=")</f>
        <v>#VALUE!</v>
      </c>
      <c r="CN2" t="e">
        <f>AND('VEL-LECT'!AU7,"AAAAAEff31s=")</f>
        <v>#VALUE!</v>
      </c>
      <c r="CO2" t="e">
        <f>AND('VEL-LECT'!AV7,"AAAAAEff31w=")</f>
        <v>#VALUE!</v>
      </c>
      <c r="CP2" t="e">
        <f>AND('VEL-LECT'!AW7,"AAAAAEff310=")</f>
        <v>#VALUE!</v>
      </c>
      <c r="CQ2">
        <f>IF('VEL-LECT'!8:8,"AAAAAEff314=",0)</f>
        <v>0</v>
      </c>
      <c r="CR2" t="e">
        <f>AND('VEL-LECT'!A8,"AAAAAEff318=")</f>
        <v>#VALUE!</v>
      </c>
      <c r="CS2" t="e">
        <f>AND('VEL-LECT'!B8,"AAAAAEff32A=")</f>
        <v>#VALUE!</v>
      </c>
      <c r="CT2" t="e">
        <f>AND('VEL-LECT'!C8,"AAAAAEff32E=")</f>
        <v>#VALUE!</v>
      </c>
      <c r="CU2" t="e">
        <f>AND('VEL-LECT'!D8,"AAAAAEff32I=")</f>
        <v>#VALUE!</v>
      </c>
      <c r="CV2" t="e">
        <f>AND('VEL-LECT'!E8,"AAAAAEff32M=")</f>
        <v>#VALUE!</v>
      </c>
      <c r="CW2" t="e">
        <f>AND('VEL-LECT'!F8,"AAAAAEff32Q=")</f>
        <v>#VALUE!</v>
      </c>
      <c r="CX2" t="e">
        <f>AND('VEL-LECT'!G8,"AAAAAEff32U=")</f>
        <v>#VALUE!</v>
      </c>
      <c r="CY2" t="e">
        <f>AND('VEL-LECT'!H8,"AAAAAEff32Y=")</f>
        <v>#VALUE!</v>
      </c>
      <c r="CZ2" t="e">
        <f>AND('VEL-LECT'!I8,"AAAAAEff32c=")</f>
        <v>#VALUE!</v>
      </c>
      <c r="DA2" t="e">
        <f>AND('VEL-LECT'!J8,"AAAAAEff32g=")</f>
        <v>#VALUE!</v>
      </c>
      <c r="DB2" t="e">
        <f>AND('VEL-LECT'!K8,"AAAAAEff32k=")</f>
        <v>#VALUE!</v>
      </c>
      <c r="DC2" t="e">
        <f>AND('VEL-LECT'!L8,"AAAAAEff32o=")</f>
        <v>#VALUE!</v>
      </c>
      <c r="DD2" t="e">
        <f>AND('VEL-LECT'!M8,"AAAAAEff32s=")</f>
        <v>#VALUE!</v>
      </c>
      <c r="DE2" t="e">
        <f>AND('VEL-LECT'!N8,"AAAAAEff32w=")</f>
        <v>#VALUE!</v>
      </c>
      <c r="DF2" t="e">
        <f>AND('VEL-LECT'!O8,"AAAAAEff320=")</f>
        <v>#VALUE!</v>
      </c>
      <c r="DG2" t="e">
        <f>AND('VEL-LECT'!P8,"AAAAAEff324=")</f>
        <v>#VALUE!</v>
      </c>
      <c r="DH2" t="e">
        <f>AND('VEL-LECT'!Q8,"AAAAAEff328=")</f>
        <v>#VALUE!</v>
      </c>
      <c r="DI2" t="e">
        <f>AND('VEL-LECT'!R8,"AAAAAEff33A=")</f>
        <v>#VALUE!</v>
      </c>
      <c r="DJ2" t="e">
        <f>AND('VEL-LECT'!S8,"AAAAAEff33E=")</f>
        <v>#VALUE!</v>
      </c>
      <c r="DK2" t="e">
        <f>AND('VEL-LECT'!T8,"AAAAAEff33I=")</f>
        <v>#VALUE!</v>
      </c>
      <c r="DL2" t="e">
        <f>AND('VEL-LECT'!U8,"AAAAAEff33M=")</f>
        <v>#VALUE!</v>
      </c>
      <c r="DM2" t="e">
        <f>AND('VEL-LECT'!V8,"AAAAAEff33Q=")</f>
        <v>#VALUE!</v>
      </c>
      <c r="DN2" t="e">
        <f>AND('VEL-LECT'!W8,"AAAAAEff33U=")</f>
        <v>#VALUE!</v>
      </c>
      <c r="DO2" t="e">
        <f>AND('VEL-LECT'!X8,"AAAAAEff33Y=")</f>
        <v>#VALUE!</v>
      </c>
      <c r="DP2" t="e">
        <f>AND('VEL-LECT'!Y8,"AAAAAEff33c=")</f>
        <v>#VALUE!</v>
      </c>
      <c r="DQ2" t="e">
        <f>AND('VEL-LECT'!Z8,"AAAAAEff33g=")</f>
        <v>#VALUE!</v>
      </c>
      <c r="DR2" t="e">
        <f>AND('VEL-LECT'!AA8,"AAAAAEff33k=")</f>
        <v>#VALUE!</v>
      </c>
      <c r="DS2" t="e">
        <f>AND('VEL-LECT'!AB8,"AAAAAEff33o=")</f>
        <v>#VALUE!</v>
      </c>
      <c r="DT2" t="e">
        <f>AND('VEL-LECT'!AC8,"AAAAAEff33s=")</f>
        <v>#VALUE!</v>
      </c>
      <c r="DU2" t="e">
        <f>AND('VEL-LECT'!AD8,"AAAAAEff33w=")</f>
        <v>#VALUE!</v>
      </c>
      <c r="DV2" t="e">
        <f>AND('VEL-LECT'!AE8,"AAAAAEff330=")</f>
        <v>#VALUE!</v>
      </c>
      <c r="DW2" t="e">
        <f>AND('VEL-LECT'!AF8,"AAAAAEff334=")</f>
        <v>#VALUE!</v>
      </c>
      <c r="DX2" t="e">
        <f>AND('VEL-LECT'!AG8,"AAAAAEff338=")</f>
        <v>#VALUE!</v>
      </c>
      <c r="DY2" t="e">
        <f>AND('VEL-LECT'!AH8,"AAAAAEff34A=")</f>
        <v>#VALUE!</v>
      </c>
      <c r="DZ2" t="e">
        <f>AND('VEL-LECT'!AI8,"AAAAAEff34E=")</f>
        <v>#VALUE!</v>
      </c>
      <c r="EA2" t="e">
        <f>AND('VEL-LECT'!AJ8,"AAAAAEff34I=")</f>
        <v>#VALUE!</v>
      </c>
      <c r="EB2" t="e">
        <f>AND('VEL-LECT'!AK8,"AAAAAEff34M=")</f>
        <v>#VALUE!</v>
      </c>
      <c r="EC2" t="e">
        <f>AND('VEL-LECT'!AL8,"AAAAAEff34Q=")</f>
        <v>#VALUE!</v>
      </c>
      <c r="ED2" t="e">
        <f>AND('VEL-LECT'!AM8,"AAAAAEff34U=")</f>
        <v>#VALUE!</v>
      </c>
      <c r="EE2" t="e">
        <f>AND('VEL-LECT'!AN8,"AAAAAEff34Y=")</f>
        <v>#VALUE!</v>
      </c>
      <c r="EF2" t="e">
        <f>AND('VEL-LECT'!AO8,"AAAAAEff34c=")</f>
        <v>#VALUE!</v>
      </c>
      <c r="EG2" t="e">
        <f>AND('VEL-LECT'!AP8,"AAAAAEff34g=")</f>
        <v>#VALUE!</v>
      </c>
      <c r="EH2" t="e">
        <f>AND('VEL-LECT'!AQ8,"AAAAAEff34k=")</f>
        <v>#VALUE!</v>
      </c>
      <c r="EI2" t="e">
        <f>AND('VEL-LECT'!AR8,"AAAAAEff34o=")</f>
        <v>#VALUE!</v>
      </c>
      <c r="EJ2" t="e">
        <f>AND('VEL-LECT'!AS8,"AAAAAEff34s=")</f>
        <v>#VALUE!</v>
      </c>
      <c r="EK2" t="e">
        <f>AND('VEL-LECT'!AT8,"AAAAAEff34w=")</f>
        <v>#VALUE!</v>
      </c>
      <c r="EL2" t="e">
        <f>AND('VEL-LECT'!AU8,"AAAAAEff340=")</f>
        <v>#VALUE!</v>
      </c>
      <c r="EM2" t="e">
        <f>AND('VEL-LECT'!AV8,"AAAAAEff344=")</f>
        <v>#VALUE!</v>
      </c>
      <c r="EN2" t="e">
        <f>AND('VEL-LECT'!AW8,"AAAAAEff348=")</f>
        <v>#VALUE!</v>
      </c>
      <c r="EO2">
        <f>IF('VEL-LECT'!9:9,"AAAAAEff35A=",0)</f>
        <v>0</v>
      </c>
      <c r="EP2" t="e">
        <f>AND('VEL-LECT'!A9,"AAAAAEff35E=")</f>
        <v>#VALUE!</v>
      </c>
      <c r="EQ2" t="e">
        <f>AND('VEL-LECT'!B9,"AAAAAEff35I=")</f>
        <v>#VALUE!</v>
      </c>
      <c r="ER2" t="e">
        <f>AND('VEL-LECT'!C9,"AAAAAEff35M=")</f>
        <v>#VALUE!</v>
      </c>
      <c r="ES2" t="e">
        <f>AND('VEL-LECT'!D9,"AAAAAEff35Q=")</f>
        <v>#VALUE!</v>
      </c>
      <c r="ET2" t="e">
        <f>AND('VEL-LECT'!E9,"AAAAAEff35U=")</f>
        <v>#VALUE!</v>
      </c>
      <c r="EU2" t="e">
        <f>AND('VEL-LECT'!F9,"AAAAAEff35Y=")</f>
        <v>#VALUE!</v>
      </c>
      <c r="EV2" t="e">
        <f>AND('VEL-LECT'!G9,"AAAAAEff35c=")</f>
        <v>#VALUE!</v>
      </c>
      <c r="EW2" t="e">
        <f>AND('VEL-LECT'!H9,"AAAAAEff35g=")</f>
        <v>#VALUE!</v>
      </c>
      <c r="EX2" t="e">
        <f>AND('VEL-LECT'!I9,"AAAAAEff35k=")</f>
        <v>#VALUE!</v>
      </c>
      <c r="EY2" t="e">
        <f>AND('VEL-LECT'!J9,"AAAAAEff35o=")</f>
        <v>#VALUE!</v>
      </c>
      <c r="EZ2" t="e">
        <f>AND('VEL-LECT'!K9,"AAAAAEff35s=")</f>
        <v>#VALUE!</v>
      </c>
      <c r="FA2" t="e">
        <f>AND('VEL-LECT'!L9,"AAAAAEff35w=")</f>
        <v>#VALUE!</v>
      </c>
      <c r="FB2" t="e">
        <f>AND('VEL-LECT'!M9,"AAAAAEff350=")</f>
        <v>#VALUE!</v>
      </c>
      <c r="FC2" t="e">
        <f>AND('VEL-LECT'!N9,"AAAAAEff354=")</f>
        <v>#VALUE!</v>
      </c>
      <c r="FD2" t="e">
        <f>AND('VEL-LECT'!O9,"AAAAAEff358=")</f>
        <v>#VALUE!</v>
      </c>
      <c r="FE2" t="e">
        <f>AND('VEL-LECT'!P9,"AAAAAEff36A=")</f>
        <v>#VALUE!</v>
      </c>
      <c r="FF2" t="e">
        <f>AND('VEL-LECT'!Q9,"AAAAAEff36E=")</f>
        <v>#VALUE!</v>
      </c>
      <c r="FG2" t="e">
        <f>AND('VEL-LECT'!R9,"AAAAAEff36I=")</f>
        <v>#VALUE!</v>
      </c>
      <c r="FH2" t="e">
        <f>AND('VEL-LECT'!S9,"AAAAAEff36M=")</f>
        <v>#VALUE!</v>
      </c>
      <c r="FI2" t="e">
        <f>AND('VEL-LECT'!T9,"AAAAAEff36Q=")</f>
        <v>#VALUE!</v>
      </c>
      <c r="FJ2" t="e">
        <f>AND('VEL-LECT'!U9,"AAAAAEff36U=")</f>
        <v>#VALUE!</v>
      </c>
      <c r="FK2" t="e">
        <f>AND('VEL-LECT'!V9,"AAAAAEff36Y=")</f>
        <v>#VALUE!</v>
      </c>
      <c r="FL2" t="e">
        <f>AND('VEL-LECT'!W9,"AAAAAEff36c=")</f>
        <v>#VALUE!</v>
      </c>
      <c r="FM2" t="e">
        <f>AND('VEL-LECT'!X9,"AAAAAEff36g=")</f>
        <v>#VALUE!</v>
      </c>
      <c r="FN2" t="e">
        <f>AND('VEL-LECT'!Y9,"AAAAAEff36k=")</f>
        <v>#VALUE!</v>
      </c>
      <c r="FO2" t="e">
        <f>AND('VEL-LECT'!Z9,"AAAAAEff36o=")</f>
        <v>#VALUE!</v>
      </c>
      <c r="FP2" t="e">
        <f>AND('VEL-LECT'!AA9,"AAAAAEff36s=")</f>
        <v>#VALUE!</v>
      </c>
      <c r="FQ2" t="e">
        <f>AND('VEL-LECT'!AB9,"AAAAAEff36w=")</f>
        <v>#VALUE!</v>
      </c>
      <c r="FR2" t="e">
        <f>AND('VEL-LECT'!AC9,"AAAAAEff360=")</f>
        <v>#VALUE!</v>
      </c>
      <c r="FS2" t="e">
        <f>AND('VEL-LECT'!AD9,"AAAAAEff364=")</f>
        <v>#VALUE!</v>
      </c>
      <c r="FT2" t="e">
        <f>AND('VEL-LECT'!AE9,"AAAAAEff368=")</f>
        <v>#VALUE!</v>
      </c>
      <c r="FU2" t="e">
        <f>AND('VEL-LECT'!AF9,"AAAAAEff37A=")</f>
        <v>#VALUE!</v>
      </c>
      <c r="FV2" t="e">
        <f>AND('VEL-LECT'!AG9,"AAAAAEff37E=")</f>
        <v>#VALUE!</v>
      </c>
      <c r="FW2" t="e">
        <f>AND('VEL-LECT'!AH9,"AAAAAEff37I=")</f>
        <v>#VALUE!</v>
      </c>
      <c r="FX2" t="e">
        <f>AND('VEL-LECT'!AI9,"AAAAAEff37M=")</f>
        <v>#VALUE!</v>
      </c>
      <c r="FY2" t="e">
        <f>AND('VEL-LECT'!AJ9,"AAAAAEff37Q=")</f>
        <v>#VALUE!</v>
      </c>
      <c r="FZ2" t="e">
        <f>AND('VEL-LECT'!AK9,"AAAAAEff37U=")</f>
        <v>#VALUE!</v>
      </c>
      <c r="GA2" t="e">
        <f>AND('VEL-LECT'!AL9,"AAAAAEff37Y=")</f>
        <v>#VALUE!</v>
      </c>
      <c r="GB2" t="e">
        <f>AND('VEL-LECT'!AM9,"AAAAAEff37c=")</f>
        <v>#VALUE!</v>
      </c>
      <c r="GC2" t="e">
        <f>AND('VEL-LECT'!AN9,"AAAAAEff37g=")</f>
        <v>#VALUE!</v>
      </c>
      <c r="GD2" t="e">
        <f>AND('VEL-LECT'!AO9,"AAAAAEff37k=")</f>
        <v>#VALUE!</v>
      </c>
      <c r="GE2" t="e">
        <f>AND('VEL-LECT'!AP9,"AAAAAEff37o=")</f>
        <v>#VALUE!</v>
      </c>
      <c r="GF2" t="e">
        <f>AND('VEL-LECT'!AQ9,"AAAAAEff37s=")</f>
        <v>#VALUE!</v>
      </c>
      <c r="GG2" t="e">
        <f>AND('VEL-LECT'!AR9,"AAAAAEff37w=")</f>
        <v>#VALUE!</v>
      </c>
      <c r="GH2" t="e">
        <f>AND('VEL-LECT'!AS9,"AAAAAEff370=")</f>
        <v>#VALUE!</v>
      </c>
      <c r="GI2" t="e">
        <f>AND('VEL-LECT'!AT9,"AAAAAEff374=")</f>
        <v>#VALUE!</v>
      </c>
      <c r="GJ2" t="e">
        <f>AND('VEL-LECT'!AU9,"AAAAAEff378=")</f>
        <v>#VALUE!</v>
      </c>
      <c r="GK2" t="e">
        <f>AND('VEL-LECT'!AV9,"AAAAAEff38A=")</f>
        <v>#VALUE!</v>
      </c>
      <c r="GL2" t="e">
        <f>AND('VEL-LECT'!AW9,"AAAAAEff38E=")</f>
        <v>#VALUE!</v>
      </c>
      <c r="GM2">
        <f>IF('VEL-LECT'!10:10,"AAAAAEff38I=",0)</f>
        <v>0</v>
      </c>
      <c r="GN2" t="e">
        <f>AND('VEL-LECT'!A10,"AAAAAEff38M=")</f>
        <v>#VALUE!</v>
      </c>
      <c r="GO2" t="e">
        <f>AND('VEL-LECT'!B10,"AAAAAEff38Q=")</f>
        <v>#VALUE!</v>
      </c>
      <c r="GP2" t="e">
        <f>AND('VEL-LECT'!C10,"AAAAAEff38U=")</f>
        <v>#VALUE!</v>
      </c>
      <c r="GQ2" t="e">
        <f>AND('VEL-LECT'!D10,"AAAAAEff38Y=")</f>
        <v>#VALUE!</v>
      </c>
      <c r="GR2" t="e">
        <f>AND('VEL-LECT'!E10,"AAAAAEff38c=")</f>
        <v>#VALUE!</v>
      </c>
      <c r="GS2" t="e">
        <f>AND('VEL-LECT'!F10,"AAAAAEff38g=")</f>
        <v>#VALUE!</v>
      </c>
      <c r="GT2" t="e">
        <f>AND('VEL-LECT'!G10,"AAAAAEff38k=")</f>
        <v>#VALUE!</v>
      </c>
      <c r="GU2" t="e">
        <f>AND('VEL-LECT'!H10,"AAAAAEff38o=")</f>
        <v>#VALUE!</v>
      </c>
      <c r="GV2" t="e">
        <f>AND('VEL-LECT'!I10,"AAAAAEff38s=")</f>
        <v>#VALUE!</v>
      </c>
      <c r="GW2" t="e">
        <f>AND('VEL-LECT'!J10,"AAAAAEff38w=")</f>
        <v>#VALUE!</v>
      </c>
      <c r="GX2" t="e">
        <f>AND('VEL-LECT'!K10,"AAAAAEff380=")</f>
        <v>#VALUE!</v>
      </c>
      <c r="GY2" t="e">
        <f>AND('VEL-LECT'!L10,"AAAAAEff384=")</f>
        <v>#VALUE!</v>
      </c>
      <c r="GZ2" t="e">
        <f>AND('VEL-LECT'!M10,"AAAAAEff388=")</f>
        <v>#VALUE!</v>
      </c>
      <c r="HA2" t="e">
        <f>AND('VEL-LECT'!N10,"AAAAAEff39A=")</f>
        <v>#VALUE!</v>
      </c>
      <c r="HB2" t="e">
        <f>AND('VEL-LECT'!O10,"AAAAAEff39E=")</f>
        <v>#VALUE!</v>
      </c>
      <c r="HC2" t="e">
        <f>AND('VEL-LECT'!P10,"AAAAAEff39I=")</f>
        <v>#VALUE!</v>
      </c>
      <c r="HD2" t="e">
        <f>AND('VEL-LECT'!Q10,"AAAAAEff39M=")</f>
        <v>#VALUE!</v>
      </c>
      <c r="HE2" t="e">
        <f>AND('VEL-LECT'!R10,"AAAAAEff39Q=")</f>
        <v>#VALUE!</v>
      </c>
      <c r="HF2" t="e">
        <f>AND('VEL-LECT'!S10,"AAAAAEff39U=")</f>
        <v>#VALUE!</v>
      </c>
      <c r="HG2" t="e">
        <f>AND('VEL-LECT'!T10,"AAAAAEff39Y=")</f>
        <v>#VALUE!</v>
      </c>
      <c r="HH2" t="e">
        <f>AND('VEL-LECT'!U10,"AAAAAEff39c=")</f>
        <v>#VALUE!</v>
      </c>
      <c r="HI2" t="e">
        <f>AND('VEL-LECT'!V10,"AAAAAEff39g=")</f>
        <v>#VALUE!</v>
      </c>
      <c r="HJ2" t="e">
        <f>AND('VEL-LECT'!W10,"AAAAAEff39k=")</f>
        <v>#VALUE!</v>
      </c>
      <c r="HK2" t="e">
        <f>AND('VEL-LECT'!X10,"AAAAAEff39o=")</f>
        <v>#VALUE!</v>
      </c>
      <c r="HL2" t="e">
        <f>AND('VEL-LECT'!Y10,"AAAAAEff39s=")</f>
        <v>#VALUE!</v>
      </c>
      <c r="HM2" t="e">
        <f>AND('VEL-LECT'!Z10,"AAAAAEff39w=")</f>
        <v>#VALUE!</v>
      </c>
      <c r="HN2" t="e">
        <f>AND('VEL-LECT'!AA10,"AAAAAEff390=")</f>
        <v>#VALUE!</v>
      </c>
      <c r="HO2" t="e">
        <f>AND('VEL-LECT'!AB10,"AAAAAEff394=")</f>
        <v>#VALUE!</v>
      </c>
      <c r="HP2" t="e">
        <f>AND('VEL-LECT'!AC10,"AAAAAEff398=")</f>
        <v>#VALUE!</v>
      </c>
      <c r="HQ2" t="e">
        <f>AND('VEL-LECT'!AD10,"AAAAAEff3+A=")</f>
        <v>#VALUE!</v>
      </c>
      <c r="HR2" t="e">
        <f>AND('VEL-LECT'!AE10,"AAAAAEff3+E=")</f>
        <v>#VALUE!</v>
      </c>
      <c r="HS2" t="e">
        <f>AND('VEL-LECT'!AF10,"AAAAAEff3+I=")</f>
        <v>#VALUE!</v>
      </c>
      <c r="HT2" t="e">
        <f>AND('VEL-LECT'!AG10,"AAAAAEff3+M=")</f>
        <v>#VALUE!</v>
      </c>
      <c r="HU2" t="e">
        <f>AND('VEL-LECT'!AH10,"AAAAAEff3+Q=")</f>
        <v>#VALUE!</v>
      </c>
      <c r="HV2" t="e">
        <f>AND('VEL-LECT'!AI10,"AAAAAEff3+U=")</f>
        <v>#VALUE!</v>
      </c>
      <c r="HW2" t="e">
        <f>AND('VEL-LECT'!AJ10,"AAAAAEff3+Y=")</f>
        <v>#VALUE!</v>
      </c>
      <c r="HX2" t="e">
        <f>AND('VEL-LECT'!AK10,"AAAAAEff3+c=")</f>
        <v>#VALUE!</v>
      </c>
      <c r="HY2" t="e">
        <f>AND('VEL-LECT'!AL10,"AAAAAEff3+g=")</f>
        <v>#VALUE!</v>
      </c>
      <c r="HZ2" t="e">
        <f>AND('VEL-LECT'!AM10,"AAAAAEff3+k=")</f>
        <v>#VALUE!</v>
      </c>
      <c r="IA2" t="e">
        <f>AND('VEL-LECT'!AN10,"AAAAAEff3+o=")</f>
        <v>#VALUE!</v>
      </c>
      <c r="IB2" t="e">
        <f>AND('VEL-LECT'!AO10,"AAAAAEff3+s=")</f>
        <v>#VALUE!</v>
      </c>
      <c r="IC2" t="e">
        <f>AND('VEL-LECT'!AP10,"AAAAAEff3+w=")</f>
        <v>#VALUE!</v>
      </c>
      <c r="ID2" t="e">
        <f>AND('VEL-LECT'!AQ10,"AAAAAEff3+0=")</f>
        <v>#VALUE!</v>
      </c>
      <c r="IE2" t="e">
        <f>AND('VEL-LECT'!AR10,"AAAAAEff3+4=")</f>
        <v>#VALUE!</v>
      </c>
      <c r="IF2" t="e">
        <f>AND('VEL-LECT'!AS10,"AAAAAEff3+8=")</f>
        <v>#VALUE!</v>
      </c>
      <c r="IG2" t="e">
        <f>AND('VEL-LECT'!AT10,"AAAAAEff3/A=")</f>
        <v>#VALUE!</v>
      </c>
      <c r="IH2" t="e">
        <f>AND('VEL-LECT'!AU10,"AAAAAEff3/E=")</f>
        <v>#VALUE!</v>
      </c>
      <c r="II2" t="e">
        <f>AND('VEL-LECT'!AV10,"AAAAAEff3/I=")</f>
        <v>#VALUE!</v>
      </c>
      <c r="IJ2" t="e">
        <f>AND('VEL-LECT'!AW10,"AAAAAEff3/M=")</f>
        <v>#VALUE!</v>
      </c>
      <c r="IK2">
        <f>IF('VEL-LECT'!11:11,"AAAAAEff3/Q=",0)</f>
        <v>0</v>
      </c>
      <c r="IL2" t="e">
        <f>AND('VEL-LECT'!A11,"AAAAAEff3/U=")</f>
        <v>#VALUE!</v>
      </c>
      <c r="IM2" t="e">
        <f>AND('VEL-LECT'!B11,"AAAAAEff3/Y=")</f>
        <v>#VALUE!</v>
      </c>
      <c r="IN2" t="e">
        <f>AND('VEL-LECT'!C11,"AAAAAEff3/c=")</f>
        <v>#VALUE!</v>
      </c>
      <c r="IO2" t="e">
        <f>AND('VEL-LECT'!D11,"AAAAAEff3/g=")</f>
        <v>#VALUE!</v>
      </c>
      <c r="IP2" t="e">
        <f>AND('VEL-LECT'!E11,"AAAAAEff3/k=")</f>
        <v>#VALUE!</v>
      </c>
      <c r="IQ2" t="e">
        <f>AND('VEL-LECT'!F11,"AAAAAEff3/o=")</f>
        <v>#VALUE!</v>
      </c>
      <c r="IR2" t="e">
        <f>AND('VEL-LECT'!G11,"AAAAAEff3/s=")</f>
        <v>#VALUE!</v>
      </c>
      <c r="IS2" t="e">
        <f>AND('VEL-LECT'!H11,"AAAAAEff3/w=")</f>
        <v>#VALUE!</v>
      </c>
      <c r="IT2" t="e">
        <f>AND('VEL-LECT'!I11,"AAAAAEff3/0=")</f>
        <v>#VALUE!</v>
      </c>
      <c r="IU2" t="e">
        <f>AND('VEL-LECT'!J11,"AAAAAEff3/4=")</f>
        <v>#VALUE!</v>
      </c>
      <c r="IV2" t="e">
        <f>AND('VEL-LECT'!K11,"AAAAAEff3/8=")</f>
        <v>#VALUE!</v>
      </c>
    </row>
    <row r="3" spans="1:256" ht="15">
      <c r="A3" t="e">
        <f>AND('VEL-LECT'!L11,"AAAAADLq2gA=")</f>
        <v>#VALUE!</v>
      </c>
      <c r="B3" t="e">
        <f>AND('VEL-LECT'!M11,"AAAAADLq2gE=")</f>
        <v>#VALUE!</v>
      </c>
      <c r="C3" t="e">
        <f>AND('VEL-LECT'!N11,"AAAAADLq2gI=")</f>
        <v>#VALUE!</v>
      </c>
      <c r="D3" t="e">
        <f>AND('VEL-LECT'!O11,"AAAAADLq2gM=")</f>
        <v>#VALUE!</v>
      </c>
      <c r="E3" t="e">
        <f>AND('VEL-LECT'!P11,"AAAAADLq2gQ=")</f>
        <v>#VALUE!</v>
      </c>
      <c r="F3" t="e">
        <f>AND('VEL-LECT'!Q11,"AAAAADLq2gU=")</f>
        <v>#VALUE!</v>
      </c>
      <c r="G3" t="e">
        <f>AND('VEL-LECT'!R11,"AAAAADLq2gY=")</f>
        <v>#VALUE!</v>
      </c>
      <c r="H3" t="e">
        <f>AND('VEL-LECT'!S11,"AAAAADLq2gc=")</f>
        <v>#VALUE!</v>
      </c>
      <c r="I3" t="e">
        <f>AND('VEL-LECT'!T11,"AAAAADLq2gg=")</f>
        <v>#VALUE!</v>
      </c>
      <c r="J3" t="e">
        <f>AND('VEL-LECT'!U11,"AAAAADLq2gk=")</f>
        <v>#VALUE!</v>
      </c>
      <c r="K3" t="e">
        <f>AND('VEL-LECT'!V11,"AAAAADLq2go=")</f>
        <v>#VALUE!</v>
      </c>
      <c r="L3" t="e">
        <f>AND('VEL-LECT'!W11,"AAAAADLq2gs=")</f>
        <v>#VALUE!</v>
      </c>
      <c r="M3" t="e">
        <f>AND('VEL-LECT'!X11,"AAAAADLq2gw=")</f>
        <v>#VALUE!</v>
      </c>
      <c r="N3" t="e">
        <f>AND('VEL-LECT'!Y11,"AAAAADLq2g0=")</f>
        <v>#VALUE!</v>
      </c>
      <c r="O3" t="e">
        <f>AND('VEL-LECT'!Z11,"AAAAADLq2g4=")</f>
        <v>#VALUE!</v>
      </c>
      <c r="P3" t="e">
        <f>AND('VEL-LECT'!AA11,"AAAAADLq2g8=")</f>
        <v>#VALUE!</v>
      </c>
      <c r="Q3" t="e">
        <f>AND('VEL-LECT'!AB11,"AAAAADLq2hA=")</f>
        <v>#VALUE!</v>
      </c>
      <c r="R3" t="e">
        <f>AND('VEL-LECT'!AC11,"AAAAADLq2hE=")</f>
        <v>#VALUE!</v>
      </c>
      <c r="S3" t="e">
        <f>AND('VEL-LECT'!AD11,"AAAAADLq2hI=")</f>
        <v>#VALUE!</v>
      </c>
      <c r="T3" t="e">
        <f>AND('VEL-LECT'!AE11,"AAAAADLq2hM=")</f>
        <v>#VALUE!</v>
      </c>
      <c r="U3" t="e">
        <f>AND('VEL-LECT'!AF11,"AAAAADLq2hQ=")</f>
        <v>#VALUE!</v>
      </c>
      <c r="V3" t="e">
        <f>AND('VEL-LECT'!AG11,"AAAAADLq2hU=")</f>
        <v>#VALUE!</v>
      </c>
      <c r="W3" t="e">
        <f>AND('VEL-LECT'!AH11,"AAAAADLq2hY=")</f>
        <v>#VALUE!</v>
      </c>
      <c r="X3" t="e">
        <f>AND('VEL-LECT'!AI11,"AAAAADLq2hc=")</f>
        <v>#VALUE!</v>
      </c>
      <c r="Y3" t="e">
        <f>AND('VEL-LECT'!AJ11,"AAAAADLq2hg=")</f>
        <v>#VALUE!</v>
      </c>
      <c r="Z3" t="e">
        <f>AND('VEL-LECT'!AK11,"AAAAADLq2hk=")</f>
        <v>#VALUE!</v>
      </c>
      <c r="AA3" t="e">
        <f>AND('VEL-LECT'!AL11,"AAAAADLq2ho=")</f>
        <v>#VALUE!</v>
      </c>
      <c r="AB3" t="e">
        <f>AND('VEL-LECT'!AM11,"AAAAADLq2hs=")</f>
        <v>#VALUE!</v>
      </c>
      <c r="AC3" t="e">
        <f>AND('VEL-LECT'!AN11,"AAAAADLq2hw=")</f>
        <v>#VALUE!</v>
      </c>
      <c r="AD3" t="e">
        <f>AND('VEL-LECT'!AO11,"AAAAADLq2h0=")</f>
        <v>#VALUE!</v>
      </c>
      <c r="AE3" t="e">
        <f>AND('VEL-LECT'!AP11,"AAAAADLq2h4=")</f>
        <v>#VALUE!</v>
      </c>
      <c r="AF3" t="e">
        <f>AND('VEL-LECT'!AQ11,"AAAAADLq2h8=")</f>
        <v>#VALUE!</v>
      </c>
      <c r="AG3" t="e">
        <f>AND('VEL-LECT'!AR11,"AAAAADLq2iA=")</f>
        <v>#VALUE!</v>
      </c>
      <c r="AH3" t="e">
        <f>AND('VEL-LECT'!AS11,"AAAAADLq2iE=")</f>
        <v>#VALUE!</v>
      </c>
      <c r="AI3" t="e">
        <f>AND('VEL-LECT'!AT11,"AAAAADLq2iI=")</f>
        <v>#VALUE!</v>
      </c>
      <c r="AJ3" t="e">
        <f>AND('VEL-LECT'!AU11,"AAAAADLq2iM=")</f>
        <v>#VALUE!</v>
      </c>
      <c r="AK3" t="e">
        <f>AND('VEL-LECT'!AV11,"AAAAADLq2iQ=")</f>
        <v>#VALUE!</v>
      </c>
      <c r="AL3" t="e">
        <f>AND('VEL-LECT'!AW11,"AAAAADLq2iU=")</f>
        <v>#VALUE!</v>
      </c>
      <c r="AM3">
        <f>IF('VEL-LECT'!12:12,"AAAAADLq2iY=",0)</f>
        <v>0</v>
      </c>
      <c r="AN3" t="e">
        <f>AND('VEL-LECT'!A12,"AAAAADLq2ic=")</f>
        <v>#VALUE!</v>
      </c>
      <c r="AO3" t="e">
        <f>AND('VEL-LECT'!B12,"AAAAADLq2ig=")</f>
        <v>#VALUE!</v>
      </c>
      <c r="AP3" t="e">
        <f>AND('VEL-LECT'!C12,"AAAAADLq2ik=")</f>
        <v>#VALUE!</v>
      </c>
      <c r="AQ3" t="e">
        <f>AND('VEL-LECT'!D12,"AAAAADLq2io=")</f>
        <v>#VALUE!</v>
      </c>
      <c r="AR3" t="e">
        <f>AND('VEL-LECT'!E12,"AAAAADLq2is=")</f>
        <v>#VALUE!</v>
      </c>
      <c r="AS3" t="e">
        <f>AND('VEL-LECT'!F12,"AAAAADLq2iw=")</f>
        <v>#VALUE!</v>
      </c>
      <c r="AT3" t="e">
        <f>AND('VEL-LECT'!G12,"AAAAADLq2i0=")</f>
        <v>#VALUE!</v>
      </c>
      <c r="AU3" t="e">
        <f>AND('VEL-LECT'!H12,"AAAAADLq2i4=")</f>
        <v>#VALUE!</v>
      </c>
      <c r="AV3" t="e">
        <f>AND('VEL-LECT'!I12,"AAAAADLq2i8=")</f>
        <v>#VALUE!</v>
      </c>
      <c r="AW3" t="e">
        <f>AND('VEL-LECT'!J12,"AAAAADLq2jA=")</f>
        <v>#VALUE!</v>
      </c>
      <c r="AX3" t="e">
        <f>AND('VEL-LECT'!K12,"AAAAADLq2jE=")</f>
        <v>#VALUE!</v>
      </c>
      <c r="AY3" t="e">
        <f>AND('VEL-LECT'!L12,"AAAAADLq2jI=")</f>
        <v>#VALUE!</v>
      </c>
      <c r="AZ3" t="e">
        <f>AND('VEL-LECT'!M12,"AAAAADLq2jM=")</f>
        <v>#VALUE!</v>
      </c>
      <c r="BA3" t="e">
        <f>AND('VEL-LECT'!N12,"AAAAADLq2jQ=")</f>
        <v>#VALUE!</v>
      </c>
      <c r="BB3" t="e">
        <f>AND('VEL-LECT'!O12,"AAAAADLq2jU=")</f>
        <v>#VALUE!</v>
      </c>
      <c r="BC3" t="e">
        <f>AND('VEL-LECT'!P12,"AAAAADLq2jY=")</f>
        <v>#VALUE!</v>
      </c>
      <c r="BD3" t="e">
        <f>AND('VEL-LECT'!Q12,"AAAAADLq2jc=")</f>
        <v>#VALUE!</v>
      </c>
      <c r="BE3" t="e">
        <f>AND('VEL-LECT'!R12,"AAAAADLq2jg=")</f>
        <v>#VALUE!</v>
      </c>
      <c r="BF3" t="e">
        <f>AND('VEL-LECT'!S12,"AAAAADLq2jk=")</f>
        <v>#VALUE!</v>
      </c>
      <c r="BG3" t="e">
        <f>AND('VEL-LECT'!T12,"AAAAADLq2jo=")</f>
        <v>#VALUE!</v>
      </c>
      <c r="BH3" t="e">
        <f>AND('VEL-LECT'!U12,"AAAAADLq2js=")</f>
        <v>#VALUE!</v>
      </c>
      <c r="BI3" t="e">
        <f>AND('VEL-LECT'!V12,"AAAAADLq2jw=")</f>
        <v>#VALUE!</v>
      </c>
      <c r="BJ3" t="e">
        <f>AND('VEL-LECT'!W12,"AAAAADLq2j0=")</f>
        <v>#VALUE!</v>
      </c>
      <c r="BK3" t="e">
        <f>AND('VEL-LECT'!X12,"AAAAADLq2j4=")</f>
        <v>#VALUE!</v>
      </c>
      <c r="BL3" t="e">
        <f>AND('VEL-LECT'!Y12,"AAAAADLq2j8=")</f>
        <v>#VALUE!</v>
      </c>
      <c r="BM3" t="e">
        <f>AND('VEL-LECT'!Z12,"AAAAADLq2kA=")</f>
        <v>#VALUE!</v>
      </c>
      <c r="BN3" t="e">
        <f>AND('VEL-LECT'!AA12,"AAAAADLq2kE=")</f>
        <v>#VALUE!</v>
      </c>
      <c r="BO3" t="e">
        <f>AND('VEL-LECT'!AB12,"AAAAADLq2kI=")</f>
        <v>#VALUE!</v>
      </c>
      <c r="BP3" t="e">
        <f>AND('VEL-LECT'!AC12,"AAAAADLq2kM=")</f>
        <v>#VALUE!</v>
      </c>
      <c r="BQ3" t="e">
        <f>AND('VEL-LECT'!AD12,"AAAAADLq2kQ=")</f>
        <v>#VALUE!</v>
      </c>
      <c r="BR3" t="e">
        <f>AND('VEL-LECT'!AE12,"AAAAADLq2kU=")</f>
        <v>#VALUE!</v>
      </c>
      <c r="BS3" t="e">
        <f>AND('VEL-LECT'!AF12,"AAAAADLq2kY=")</f>
        <v>#VALUE!</v>
      </c>
      <c r="BT3" t="e">
        <f>AND('VEL-LECT'!AG12,"AAAAADLq2kc=")</f>
        <v>#VALUE!</v>
      </c>
      <c r="BU3" t="e">
        <f>AND('VEL-LECT'!AH12,"AAAAADLq2kg=")</f>
        <v>#VALUE!</v>
      </c>
      <c r="BV3" t="e">
        <f>AND('VEL-LECT'!AI12,"AAAAADLq2kk=")</f>
        <v>#VALUE!</v>
      </c>
      <c r="BW3" t="e">
        <f>AND('VEL-LECT'!AJ12,"AAAAADLq2ko=")</f>
        <v>#VALUE!</v>
      </c>
      <c r="BX3" t="e">
        <f>AND('VEL-LECT'!AK12,"AAAAADLq2ks=")</f>
        <v>#VALUE!</v>
      </c>
      <c r="BY3" t="e">
        <f>AND('VEL-LECT'!AL12,"AAAAADLq2kw=")</f>
        <v>#VALUE!</v>
      </c>
      <c r="BZ3" t="e">
        <f>AND('VEL-LECT'!AM12,"AAAAADLq2k0=")</f>
        <v>#VALUE!</v>
      </c>
      <c r="CA3" t="e">
        <f>AND('VEL-LECT'!AN12,"AAAAADLq2k4=")</f>
        <v>#VALUE!</v>
      </c>
      <c r="CB3" t="e">
        <f>AND('VEL-LECT'!AO12,"AAAAADLq2k8=")</f>
        <v>#VALUE!</v>
      </c>
      <c r="CC3" t="e">
        <f>AND('VEL-LECT'!AP12,"AAAAADLq2lA=")</f>
        <v>#VALUE!</v>
      </c>
      <c r="CD3" t="e">
        <f>AND('VEL-LECT'!AQ12,"AAAAADLq2lE=")</f>
        <v>#VALUE!</v>
      </c>
      <c r="CE3" t="e">
        <f>AND('VEL-LECT'!AR12,"AAAAADLq2lI=")</f>
        <v>#VALUE!</v>
      </c>
      <c r="CF3" t="e">
        <f>AND('VEL-LECT'!AS12,"AAAAADLq2lM=")</f>
        <v>#VALUE!</v>
      </c>
      <c r="CG3" t="e">
        <f>AND('VEL-LECT'!AT12,"AAAAADLq2lQ=")</f>
        <v>#VALUE!</v>
      </c>
      <c r="CH3" t="e">
        <f>AND('VEL-LECT'!AU12,"AAAAADLq2lU=")</f>
        <v>#VALUE!</v>
      </c>
      <c r="CI3" t="e">
        <f>AND('VEL-LECT'!AV12,"AAAAADLq2lY=")</f>
        <v>#VALUE!</v>
      </c>
      <c r="CJ3" t="e">
        <f>AND('VEL-LECT'!AW12,"AAAAADLq2lc=")</f>
        <v>#VALUE!</v>
      </c>
      <c r="CK3">
        <f>IF('VEL-LECT'!13:13,"AAAAADLq2lg=",0)</f>
        <v>0</v>
      </c>
      <c r="CL3" t="e">
        <f>AND('VEL-LECT'!A13,"AAAAADLq2lk=")</f>
        <v>#VALUE!</v>
      </c>
      <c r="CM3" t="e">
        <f>AND('VEL-LECT'!B13,"AAAAADLq2lo=")</f>
        <v>#VALUE!</v>
      </c>
      <c r="CN3" t="e">
        <f>AND('VEL-LECT'!C13,"AAAAADLq2ls=")</f>
        <v>#VALUE!</v>
      </c>
      <c r="CO3" t="e">
        <f>AND('VEL-LECT'!D13,"AAAAADLq2lw=")</f>
        <v>#VALUE!</v>
      </c>
      <c r="CP3" t="e">
        <f>AND('VEL-LECT'!E13,"AAAAADLq2l0=")</f>
        <v>#VALUE!</v>
      </c>
      <c r="CQ3" t="e">
        <f>AND('VEL-LECT'!F13,"AAAAADLq2l4=")</f>
        <v>#VALUE!</v>
      </c>
      <c r="CR3" t="e">
        <f>AND('VEL-LECT'!G13,"AAAAADLq2l8=")</f>
        <v>#VALUE!</v>
      </c>
      <c r="CS3" t="e">
        <f>AND('VEL-LECT'!H13,"AAAAADLq2mA=")</f>
        <v>#VALUE!</v>
      </c>
      <c r="CT3" t="e">
        <f>AND('VEL-LECT'!I13,"AAAAADLq2mE=")</f>
        <v>#VALUE!</v>
      </c>
      <c r="CU3" t="e">
        <f>AND('VEL-LECT'!J13,"AAAAADLq2mI=")</f>
        <v>#VALUE!</v>
      </c>
      <c r="CV3" t="e">
        <f>AND('VEL-LECT'!K13,"AAAAADLq2mM=")</f>
        <v>#VALUE!</v>
      </c>
      <c r="CW3" t="e">
        <f>AND('VEL-LECT'!L13,"AAAAADLq2mQ=")</f>
        <v>#VALUE!</v>
      </c>
      <c r="CX3" t="e">
        <f>AND('VEL-LECT'!M13,"AAAAADLq2mU=")</f>
        <v>#VALUE!</v>
      </c>
      <c r="CY3" t="e">
        <f>AND('VEL-LECT'!N13,"AAAAADLq2mY=")</f>
        <v>#VALUE!</v>
      </c>
      <c r="CZ3" t="e">
        <f>AND('VEL-LECT'!O13,"AAAAADLq2mc=")</f>
        <v>#VALUE!</v>
      </c>
      <c r="DA3" t="e">
        <f>AND('VEL-LECT'!P13,"AAAAADLq2mg=")</f>
        <v>#VALUE!</v>
      </c>
      <c r="DB3" t="e">
        <f>AND('VEL-LECT'!Q13,"AAAAADLq2mk=")</f>
        <v>#VALUE!</v>
      </c>
      <c r="DC3" t="e">
        <f>AND('VEL-LECT'!R13,"AAAAADLq2mo=")</f>
        <v>#VALUE!</v>
      </c>
      <c r="DD3" t="e">
        <f>AND('VEL-LECT'!S13,"AAAAADLq2ms=")</f>
        <v>#VALUE!</v>
      </c>
      <c r="DE3" t="e">
        <f>AND('VEL-LECT'!T13,"AAAAADLq2mw=")</f>
        <v>#VALUE!</v>
      </c>
      <c r="DF3" t="e">
        <f>AND('VEL-LECT'!U13,"AAAAADLq2m0=")</f>
        <v>#VALUE!</v>
      </c>
      <c r="DG3" t="e">
        <f>AND('VEL-LECT'!V13,"AAAAADLq2m4=")</f>
        <v>#VALUE!</v>
      </c>
      <c r="DH3" t="e">
        <f>AND('VEL-LECT'!W13,"AAAAADLq2m8=")</f>
        <v>#VALUE!</v>
      </c>
      <c r="DI3" t="e">
        <f>AND('VEL-LECT'!X13,"AAAAADLq2nA=")</f>
        <v>#VALUE!</v>
      </c>
      <c r="DJ3" t="e">
        <f>AND('VEL-LECT'!Y13,"AAAAADLq2nE=")</f>
        <v>#VALUE!</v>
      </c>
      <c r="DK3" t="e">
        <f>AND('VEL-LECT'!Z13,"AAAAADLq2nI=")</f>
        <v>#VALUE!</v>
      </c>
      <c r="DL3" t="e">
        <f>AND('VEL-LECT'!AA13,"AAAAADLq2nM=")</f>
        <v>#VALUE!</v>
      </c>
      <c r="DM3" t="e">
        <f>AND('VEL-LECT'!AB13,"AAAAADLq2nQ=")</f>
        <v>#VALUE!</v>
      </c>
      <c r="DN3" t="e">
        <f>AND('VEL-LECT'!AC13,"AAAAADLq2nU=")</f>
        <v>#VALUE!</v>
      </c>
      <c r="DO3" t="e">
        <f>AND('VEL-LECT'!AD13,"AAAAADLq2nY=")</f>
        <v>#VALUE!</v>
      </c>
      <c r="DP3" t="e">
        <f>AND('VEL-LECT'!AE13,"AAAAADLq2nc=")</f>
        <v>#VALUE!</v>
      </c>
      <c r="DQ3" t="e">
        <f>AND('VEL-LECT'!AF13,"AAAAADLq2ng=")</f>
        <v>#VALUE!</v>
      </c>
      <c r="DR3" t="e">
        <f>AND('VEL-LECT'!AG13,"AAAAADLq2nk=")</f>
        <v>#VALUE!</v>
      </c>
      <c r="DS3" t="e">
        <f>AND('VEL-LECT'!AH13,"AAAAADLq2no=")</f>
        <v>#VALUE!</v>
      </c>
      <c r="DT3" t="e">
        <f>AND('VEL-LECT'!AI13,"AAAAADLq2ns=")</f>
        <v>#VALUE!</v>
      </c>
      <c r="DU3" t="e">
        <f>AND('VEL-LECT'!AJ13,"AAAAADLq2nw=")</f>
        <v>#VALUE!</v>
      </c>
      <c r="DV3" t="e">
        <f>AND('VEL-LECT'!AK13,"AAAAADLq2n0=")</f>
        <v>#VALUE!</v>
      </c>
      <c r="DW3" t="e">
        <f>AND('VEL-LECT'!AL13,"AAAAADLq2n4=")</f>
        <v>#VALUE!</v>
      </c>
      <c r="DX3" t="e">
        <f>AND('VEL-LECT'!AM13,"AAAAADLq2n8=")</f>
        <v>#VALUE!</v>
      </c>
      <c r="DY3" t="e">
        <f>AND('VEL-LECT'!AN13,"AAAAADLq2oA=")</f>
        <v>#VALUE!</v>
      </c>
      <c r="DZ3" t="e">
        <f>AND('VEL-LECT'!AO13,"AAAAADLq2oE=")</f>
        <v>#VALUE!</v>
      </c>
      <c r="EA3" t="e">
        <f>AND('VEL-LECT'!AP13,"AAAAADLq2oI=")</f>
        <v>#VALUE!</v>
      </c>
      <c r="EB3" t="e">
        <f>AND('VEL-LECT'!AQ13,"AAAAADLq2oM=")</f>
        <v>#VALUE!</v>
      </c>
      <c r="EC3" t="e">
        <f>AND('VEL-LECT'!AR13,"AAAAADLq2oQ=")</f>
        <v>#VALUE!</v>
      </c>
      <c r="ED3" t="e">
        <f>AND('VEL-LECT'!AS13,"AAAAADLq2oU=")</f>
        <v>#VALUE!</v>
      </c>
      <c r="EE3" t="e">
        <f>AND('VEL-LECT'!AT13,"AAAAADLq2oY=")</f>
        <v>#VALUE!</v>
      </c>
      <c r="EF3" t="e">
        <f>AND('VEL-LECT'!AU13,"AAAAADLq2oc=")</f>
        <v>#VALUE!</v>
      </c>
      <c r="EG3" t="e">
        <f>AND('VEL-LECT'!AV13,"AAAAADLq2og=")</f>
        <v>#VALUE!</v>
      </c>
      <c r="EH3" t="e">
        <f>AND('VEL-LECT'!AW13,"AAAAADLq2ok=")</f>
        <v>#VALUE!</v>
      </c>
      <c r="EI3">
        <f>IF('VEL-LECT'!14:14,"AAAAADLq2oo=",0)</f>
        <v>0</v>
      </c>
      <c r="EJ3" t="e">
        <f>AND('VEL-LECT'!A14,"AAAAADLq2os=")</f>
        <v>#VALUE!</v>
      </c>
      <c r="EK3" t="e">
        <f>AND('VEL-LECT'!B14,"AAAAADLq2ow=")</f>
        <v>#VALUE!</v>
      </c>
      <c r="EL3" t="e">
        <f>AND('VEL-LECT'!C14,"AAAAADLq2o0=")</f>
        <v>#VALUE!</v>
      </c>
      <c r="EM3" t="e">
        <f>AND('VEL-LECT'!D14,"AAAAADLq2o4=")</f>
        <v>#VALUE!</v>
      </c>
      <c r="EN3" t="e">
        <f>AND('VEL-LECT'!E14,"AAAAADLq2o8=")</f>
        <v>#VALUE!</v>
      </c>
      <c r="EO3" t="e">
        <f>AND('VEL-LECT'!F14,"AAAAADLq2pA=")</f>
        <v>#VALUE!</v>
      </c>
      <c r="EP3" t="e">
        <f>AND('VEL-LECT'!G14,"AAAAADLq2pE=")</f>
        <v>#VALUE!</v>
      </c>
      <c r="EQ3" t="e">
        <f>AND('VEL-LECT'!H14,"AAAAADLq2pI=")</f>
        <v>#VALUE!</v>
      </c>
      <c r="ER3" t="e">
        <f>AND('VEL-LECT'!I14,"AAAAADLq2pM=")</f>
        <v>#VALUE!</v>
      </c>
      <c r="ES3" t="e">
        <f>AND('VEL-LECT'!J14,"AAAAADLq2pQ=")</f>
        <v>#VALUE!</v>
      </c>
      <c r="ET3" t="e">
        <f>AND('VEL-LECT'!K14,"AAAAADLq2pU=")</f>
        <v>#VALUE!</v>
      </c>
      <c r="EU3" t="e">
        <f>AND('VEL-LECT'!L14,"AAAAADLq2pY=")</f>
        <v>#VALUE!</v>
      </c>
      <c r="EV3" t="e">
        <f>AND('VEL-LECT'!M14,"AAAAADLq2pc=")</f>
        <v>#VALUE!</v>
      </c>
      <c r="EW3" t="e">
        <f>AND('VEL-LECT'!N14,"AAAAADLq2pg=")</f>
        <v>#VALUE!</v>
      </c>
      <c r="EX3" t="e">
        <f>AND('VEL-LECT'!O14,"AAAAADLq2pk=")</f>
        <v>#VALUE!</v>
      </c>
      <c r="EY3" t="e">
        <f>AND('VEL-LECT'!P14,"AAAAADLq2po=")</f>
        <v>#VALUE!</v>
      </c>
      <c r="EZ3" t="e">
        <f>AND('VEL-LECT'!Q14,"AAAAADLq2ps=")</f>
        <v>#VALUE!</v>
      </c>
      <c r="FA3" t="e">
        <f>AND('VEL-LECT'!R14,"AAAAADLq2pw=")</f>
        <v>#VALUE!</v>
      </c>
      <c r="FB3" t="e">
        <f>AND('VEL-LECT'!S14,"AAAAADLq2p0=")</f>
        <v>#VALUE!</v>
      </c>
      <c r="FC3" t="e">
        <f>AND('VEL-LECT'!T14,"AAAAADLq2p4=")</f>
        <v>#VALUE!</v>
      </c>
      <c r="FD3" t="e">
        <f>AND('VEL-LECT'!U14,"AAAAADLq2p8=")</f>
        <v>#VALUE!</v>
      </c>
      <c r="FE3" t="e">
        <f>AND('VEL-LECT'!V14,"AAAAADLq2qA=")</f>
        <v>#VALUE!</v>
      </c>
      <c r="FF3" t="e">
        <f>AND('VEL-LECT'!W14,"AAAAADLq2qE=")</f>
        <v>#VALUE!</v>
      </c>
      <c r="FG3" t="e">
        <f>AND('VEL-LECT'!X14,"AAAAADLq2qI=")</f>
        <v>#VALUE!</v>
      </c>
      <c r="FH3" t="e">
        <f>AND('VEL-LECT'!Y14,"AAAAADLq2qM=")</f>
        <v>#VALUE!</v>
      </c>
      <c r="FI3" t="e">
        <f>AND('VEL-LECT'!Z14,"AAAAADLq2qQ=")</f>
        <v>#VALUE!</v>
      </c>
      <c r="FJ3" t="e">
        <f>AND('VEL-LECT'!AA14,"AAAAADLq2qU=")</f>
        <v>#VALUE!</v>
      </c>
      <c r="FK3" t="e">
        <f>AND('VEL-LECT'!AB14,"AAAAADLq2qY=")</f>
        <v>#VALUE!</v>
      </c>
      <c r="FL3" t="e">
        <f>AND('VEL-LECT'!AC14,"AAAAADLq2qc=")</f>
        <v>#VALUE!</v>
      </c>
      <c r="FM3" t="e">
        <f>AND('VEL-LECT'!AD14,"AAAAADLq2qg=")</f>
        <v>#VALUE!</v>
      </c>
      <c r="FN3" t="e">
        <f>AND('VEL-LECT'!AE14,"AAAAADLq2qk=")</f>
        <v>#VALUE!</v>
      </c>
      <c r="FO3" t="e">
        <f>AND('VEL-LECT'!AF14,"AAAAADLq2qo=")</f>
        <v>#VALUE!</v>
      </c>
      <c r="FP3" t="e">
        <f>AND('VEL-LECT'!AG14,"AAAAADLq2qs=")</f>
        <v>#VALUE!</v>
      </c>
      <c r="FQ3" t="e">
        <f>AND('VEL-LECT'!AH14,"AAAAADLq2qw=")</f>
        <v>#VALUE!</v>
      </c>
      <c r="FR3" t="e">
        <f>AND('VEL-LECT'!AI14,"AAAAADLq2q0=")</f>
        <v>#VALUE!</v>
      </c>
      <c r="FS3" t="e">
        <f>AND('VEL-LECT'!AJ14,"AAAAADLq2q4=")</f>
        <v>#VALUE!</v>
      </c>
      <c r="FT3" t="e">
        <f>AND('VEL-LECT'!AK14,"AAAAADLq2q8=")</f>
        <v>#VALUE!</v>
      </c>
      <c r="FU3" t="e">
        <f>AND('VEL-LECT'!AL14,"AAAAADLq2rA=")</f>
        <v>#VALUE!</v>
      </c>
      <c r="FV3" t="e">
        <f>AND('VEL-LECT'!AM14,"AAAAADLq2rE=")</f>
        <v>#VALUE!</v>
      </c>
      <c r="FW3" t="e">
        <f>AND('VEL-LECT'!AN14,"AAAAADLq2rI=")</f>
        <v>#VALUE!</v>
      </c>
      <c r="FX3" t="e">
        <f>AND('VEL-LECT'!AO14,"AAAAADLq2rM=")</f>
        <v>#VALUE!</v>
      </c>
      <c r="FY3" t="e">
        <f>AND('VEL-LECT'!AP14,"AAAAADLq2rQ=")</f>
        <v>#VALUE!</v>
      </c>
      <c r="FZ3" t="e">
        <f>AND('VEL-LECT'!AQ14,"AAAAADLq2rU=")</f>
        <v>#VALUE!</v>
      </c>
      <c r="GA3" t="e">
        <f>AND('VEL-LECT'!AR14,"AAAAADLq2rY=")</f>
        <v>#VALUE!</v>
      </c>
      <c r="GB3" t="e">
        <f>AND('VEL-LECT'!AS14,"AAAAADLq2rc=")</f>
        <v>#VALUE!</v>
      </c>
      <c r="GC3" t="e">
        <f>AND('VEL-LECT'!AT14,"AAAAADLq2rg=")</f>
        <v>#VALUE!</v>
      </c>
      <c r="GD3" t="e">
        <f>AND('VEL-LECT'!AU14,"AAAAADLq2rk=")</f>
        <v>#VALUE!</v>
      </c>
      <c r="GE3" t="e">
        <f>AND('VEL-LECT'!AV14,"AAAAADLq2ro=")</f>
        <v>#VALUE!</v>
      </c>
      <c r="GF3" t="e">
        <f>AND('VEL-LECT'!AW14,"AAAAADLq2rs=")</f>
        <v>#VALUE!</v>
      </c>
      <c r="GG3">
        <f>IF('VEL-LECT'!15:15,"AAAAADLq2rw=",0)</f>
        <v>0</v>
      </c>
      <c r="GH3" t="e">
        <f>AND('VEL-LECT'!A15,"AAAAADLq2r0=")</f>
        <v>#VALUE!</v>
      </c>
      <c r="GI3" t="e">
        <f>AND('VEL-LECT'!B15,"AAAAADLq2r4=")</f>
        <v>#VALUE!</v>
      </c>
      <c r="GJ3" t="e">
        <f>AND('VEL-LECT'!C15,"AAAAADLq2r8=")</f>
        <v>#VALUE!</v>
      </c>
      <c r="GK3" t="e">
        <f>AND('VEL-LECT'!D15,"AAAAADLq2sA=")</f>
        <v>#VALUE!</v>
      </c>
      <c r="GL3" t="e">
        <f>AND('VEL-LECT'!E15,"AAAAADLq2sE=")</f>
        <v>#VALUE!</v>
      </c>
      <c r="GM3" t="e">
        <f>AND('VEL-LECT'!F15,"AAAAADLq2sI=")</f>
        <v>#VALUE!</v>
      </c>
      <c r="GN3" t="e">
        <f>AND('VEL-LECT'!G15,"AAAAADLq2sM=")</f>
        <v>#VALUE!</v>
      </c>
      <c r="GO3" t="e">
        <f>AND('VEL-LECT'!H15,"AAAAADLq2sQ=")</f>
        <v>#VALUE!</v>
      </c>
      <c r="GP3" t="e">
        <f>AND('VEL-LECT'!I15,"AAAAADLq2sU=")</f>
        <v>#VALUE!</v>
      </c>
      <c r="GQ3" t="e">
        <f>AND('VEL-LECT'!J15,"AAAAADLq2sY=")</f>
        <v>#VALUE!</v>
      </c>
      <c r="GR3" t="e">
        <f>AND('VEL-LECT'!K15,"AAAAADLq2sc=")</f>
        <v>#VALUE!</v>
      </c>
      <c r="GS3" t="e">
        <f>AND('VEL-LECT'!L15,"AAAAADLq2sg=")</f>
        <v>#VALUE!</v>
      </c>
      <c r="GT3" t="e">
        <f>AND('VEL-LECT'!M15,"AAAAADLq2sk=")</f>
        <v>#VALUE!</v>
      </c>
      <c r="GU3" t="e">
        <f>AND('VEL-LECT'!N15,"AAAAADLq2so=")</f>
        <v>#VALUE!</v>
      </c>
      <c r="GV3" t="e">
        <f>AND('VEL-LECT'!O15,"AAAAADLq2ss=")</f>
        <v>#VALUE!</v>
      </c>
      <c r="GW3" t="e">
        <f>AND('VEL-LECT'!P15,"AAAAADLq2sw=")</f>
        <v>#VALUE!</v>
      </c>
      <c r="GX3" t="e">
        <f>AND('VEL-LECT'!Q15,"AAAAADLq2s0=")</f>
        <v>#VALUE!</v>
      </c>
      <c r="GY3" t="e">
        <f>AND('VEL-LECT'!R15,"AAAAADLq2s4=")</f>
        <v>#VALUE!</v>
      </c>
      <c r="GZ3" t="e">
        <f>AND('VEL-LECT'!S15,"AAAAADLq2s8=")</f>
        <v>#VALUE!</v>
      </c>
      <c r="HA3" t="e">
        <f>AND('VEL-LECT'!T15,"AAAAADLq2tA=")</f>
        <v>#VALUE!</v>
      </c>
      <c r="HB3" t="e">
        <f>AND('VEL-LECT'!U15,"AAAAADLq2tE=")</f>
        <v>#VALUE!</v>
      </c>
      <c r="HC3" t="e">
        <f>AND('VEL-LECT'!V15,"AAAAADLq2tI=")</f>
        <v>#VALUE!</v>
      </c>
      <c r="HD3" t="e">
        <f>AND('VEL-LECT'!W15,"AAAAADLq2tM=")</f>
        <v>#VALUE!</v>
      </c>
      <c r="HE3" t="e">
        <f>AND('VEL-LECT'!X15,"AAAAADLq2tQ=")</f>
        <v>#VALUE!</v>
      </c>
      <c r="HF3" t="e">
        <f>AND('VEL-LECT'!Y15,"AAAAADLq2tU=")</f>
        <v>#VALUE!</v>
      </c>
      <c r="HG3" t="e">
        <f>AND('VEL-LECT'!Z15,"AAAAADLq2tY=")</f>
        <v>#VALUE!</v>
      </c>
      <c r="HH3" t="e">
        <f>AND('VEL-LECT'!AA15,"AAAAADLq2tc=")</f>
        <v>#VALUE!</v>
      </c>
      <c r="HI3" t="e">
        <f>AND('VEL-LECT'!AB15,"AAAAADLq2tg=")</f>
        <v>#VALUE!</v>
      </c>
      <c r="HJ3" t="e">
        <f>AND('VEL-LECT'!AC15,"AAAAADLq2tk=")</f>
        <v>#VALUE!</v>
      </c>
      <c r="HK3" t="e">
        <f>AND('VEL-LECT'!AD15,"AAAAADLq2to=")</f>
        <v>#VALUE!</v>
      </c>
      <c r="HL3" t="e">
        <f>AND('VEL-LECT'!AE15,"AAAAADLq2ts=")</f>
        <v>#VALUE!</v>
      </c>
      <c r="HM3" t="e">
        <f>AND('VEL-LECT'!AF15,"AAAAADLq2tw=")</f>
        <v>#VALUE!</v>
      </c>
      <c r="HN3" t="e">
        <f>AND('VEL-LECT'!AG15,"AAAAADLq2t0=")</f>
        <v>#VALUE!</v>
      </c>
      <c r="HO3" t="e">
        <f>AND('VEL-LECT'!AH15,"AAAAADLq2t4=")</f>
        <v>#VALUE!</v>
      </c>
      <c r="HP3" t="e">
        <f>AND('VEL-LECT'!AI15,"AAAAADLq2t8=")</f>
        <v>#VALUE!</v>
      </c>
      <c r="HQ3" t="e">
        <f>AND('VEL-LECT'!AJ15,"AAAAADLq2uA=")</f>
        <v>#VALUE!</v>
      </c>
      <c r="HR3" t="e">
        <f>AND('VEL-LECT'!AK15,"AAAAADLq2uE=")</f>
        <v>#VALUE!</v>
      </c>
      <c r="HS3" t="e">
        <f>AND('VEL-LECT'!AL15,"AAAAADLq2uI=")</f>
        <v>#VALUE!</v>
      </c>
      <c r="HT3" t="e">
        <f>AND('VEL-LECT'!AM15,"AAAAADLq2uM=")</f>
        <v>#VALUE!</v>
      </c>
      <c r="HU3" t="e">
        <f>AND('VEL-LECT'!AN15,"AAAAADLq2uQ=")</f>
        <v>#VALUE!</v>
      </c>
      <c r="HV3" t="e">
        <f>AND('VEL-LECT'!AO15,"AAAAADLq2uU=")</f>
        <v>#VALUE!</v>
      </c>
      <c r="HW3" t="e">
        <f>AND('VEL-LECT'!AP15,"AAAAADLq2uY=")</f>
        <v>#VALUE!</v>
      </c>
      <c r="HX3" t="e">
        <f>AND('VEL-LECT'!AQ15,"AAAAADLq2uc=")</f>
        <v>#VALUE!</v>
      </c>
      <c r="HY3" t="e">
        <f>AND('VEL-LECT'!AR15,"AAAAADLq2ug=")</f>
        <v>#VALUE!</v>
      </c>
      <c r="HZ3" t="e">
        <f>AND('VEL-LECT'!AS15,"AAAAADLq2uk=")</f>
        <v>#VALUE!</v>
      </c>
      <c r="IA3" t="e">
        <f>AND('VEL-LECT'!AT15,"AAAAADLq2uo=")</f>
        <v>#VALUE!</v>
      </c>
      <c r="IB3" t="e">
        <f>AND('VEL-LECT'!AU15,"AAAAADLq2us=")</f>
        <v>#VALUE!</v>
      </c>
      <c r="IC3" t="e">
        <f>AND('VEL-LECT'!AV15,"AAAAADLq2uw=")</f>
        <v>#VALUE!</v>
      </c>
      <c r="ID3" t="e">
        <f>AND('VEL-LECT'!AW15,"AAAAADLq2u0=")</f>
        <v>#VALUE!</v>
      </c>
      <c r="IE3">
        <f>IF('VEL-LECT'!16:16,"AAAAADLq2u4=",0)</f>
        <v>0</v>
      </c>
      <c r="IF3" t="e">
        <f>AND('VEL-LECT'!A16,"AAAAADLq2u8=")</f>
        <v>#VALUE!</v>
      </c>
      <c r="IG3" t="e">
        <f>AND('VEL-LECT'!B16,"AAAAADLq2vA=")</f>
        <v>#VALUE!</v>
      </c>
      <c r="IH3" t="e">
        <f>AND('VEL-LECT'!C16,"AAAAADLq2vE=")</f>
        <v>#VALUE!</v>
      </c>
      <c r="II3" t="e">
        <f>AND('VEL-LECT'!D16,"AAAAADLq2vI=")</f>
        <v>#VALUE!</v>
      </c>
      <c r="IJ3" t="e">
        <f>AND('VEL-LECT'!E16,"AAAAADLq2vM=")</f>
        <v>#VALUE!</v>
      </c>
      <c r="IK3" t="e">
        <f>AND('VEL-LECT'!F16,"AAAAADLq2vQ=")</f>
        <v>#VALUE!</v>
      </c>
      <c r="IL3" t="e">
        <f>AND('VEL-LECT'!G16,"AAAAADLq2vU=")</f>
        <v>#VALUE!</v>
      </c>
      <c r="IM3" t="e">
        <f>AND('VEL-LECT'!H16,"AAAAADLq2vY=")</f>
        <v>#VALUE!</v>
      </c>
      <c r="IN3" t="e">
        <f>AND('VEL-LECT'!I16,"AAAAADLq2vc=")</f>
        <v>#VALUE!</v>
      </c>
      <c r="IO3" t="e">
        <f>AND('VEL-LECT'!J16,"AAAAADLq2vg=")</f>
        <v>#VALUE!</v>
      </c>
      <c r="IP3" t="e">
        <f>AND('VEL-LECT'!K16,"AAAAADLq2vk=")</f>
        <v>#VALUE!</v>
      </c>
      <c r="IQ3" t="e">
        <f>AND('VEL-LECT'!L16,"AAAAADLq2vo=")</f>
        <v>#VALUE!</v>
      </c>
      <c r="IR3" t="e">
        <f>AND('VEL-LECT'!M16,"AAAAADLq2vs=")</f>
        <v>#VALUE!</v>
      </c>
      <c r="IS3" t="e">
        <f>AND('VEL-LECT'!N16,"AAAAADLq2vw=")</f>
        <v>#VALUE!</v>
      </c>
      <c r="IT3" t="e">
        <f>AND('VEL-LECT'!O16,"AAAAADLq2v0=")</f>
        <v>#VALUE!</v>
      </c>
      <c r="IU3" t="e">
        <f>AND('VEL-LECT'!P16,"AAAAADLq2v4=")</f>
        <v>#VALUE!</v>
      </c>
      <c r="IV3" t="e">
        <f>AND('VEL-LECT'!Q16,"AAAAADLq2v8=")</f>
        <v>#VALUE!</v>
      </c>
    </row>
    <row r="4" spans="1:256" ht="15">
      <c r="A4" t="e">
        <f>AND('VEL-LECT'!R16,"AAAAAHs6ZgA=")</f>
        <v>#VALUE!</v>
      </c>
      <c r="B4" t="e">
        <f>AND('VEL-LECT'!S16,"AAAAAHs6ZgE=")</f>
        <v>#VALUE!</v>
      </c>
      <c r="C4" t="e">
        <f>AND('VEL-LECT'!T16,"AAAAAHs6ZgI=")</f>
        <v>#VALUE!</v>
      </c>
      <c r="D4" t="e">
        <f>AND('VEL-LECT'!U16,"AAAAAHs6ZgM=")</f>
        <v>#VALUE!</v>
      </c>
      <c r="E4" t="e">
        <f>AND('VEL-LECT'!V16,"AAAAAHs6ZgQ=")</f>
        <v>#VALUE!</v>
      </c>
      <c r="F4" t="e">
        <f>AND('VEL-LECT'!W16,"AAAAAHs6ZgU=")</f>
        <v>#VALUE!</v>
      </c>
      <c r="G4" t="e">
        <f>AND('VEL-LECT'!X16,"AAAAAHs6ZgY=")</f>
        <v>#VALUE!</v>
      </c>
      <c r="H4" t="e">
        <f>AND('VEL-LECT'!Y16,"AAAAAHs6Zgc=")</f>
        <v>#VALUE!</v>
      </c>
      <c r="I4" t="e">
        <f>AND('VEL-LECT'!Z16,"AAAAAHs6Zgg=")</f>
        <v>#VALUE!</v>
      </c>
      <c r="J4" t="e">
        <f>AND('VEL-LECT'!AA16,"AAAAAHs6Zgk=")</f>
        <v>#VALUE!</v>
      </c>
      <c r="K4" t="e">
        <f>AND('VEL-LECT'!AB16,"AAAAAHs6Zgo=")</f>
        <v>#VALUE!</v>
      </c>
      <c r="L4" t="e">
        <f>AND('VEL-LECT'!AC16,"AAAAAHs6Zgs=")</f>
        <v>#VALUE!</v>
      </c>
      <c r="M4" t="e">
        <f>AND('VEL-LECT'!AD16,"AAAAAHs6Zgw=")</f>
        <v>#VALUE!</v>
      </c>
      <c r="N4" t="e">
        <f>AND('VEL-LECT'!AE16,"AAAAAHs6Zg0=")</f>
        <v>#VALUE!</v>
      </c>
      <c r="O4" t="e">
        <f>AND('VEL-LECT'!AF16,"AAAAAHs6Zg4=")</f>
        <v>#VALUE!</v>
      </c>
      <c r="P4" t="e">
        <f>AND('VEL-LECT'!AG16,"AAAAAHs6Zg8=")</f>
        <v>#VALUE!</v>
      </c>
      <c r="Q4" t="e">
        <f>AND('VEL-LECT'!AH16,"AAAAAHs6ZhA=")</f>
        <v>#VALUE!</v>
      </c>
      <c r="R4" t="e">
        <f>AND('VEL-LECT'!AI16,"AAAAAHs6ZhE=")</f>
        <v>#VALUE!</v>
      </c>
      <c r="S4" t="e">
        <f>AND('VEL-LECT'!AJ16,"AAAAAHs6ZhI=")</f>
        <v>#VALUE!</v>
      </c>
      <c r="T4" t="e">
        <f>AND('VEL-LECT'!AK16,"AAAAAHs6ZhM=")</f>
        <v>#VALUE!</v>
      </c>
      <c r="U4" t="e">
        <f>AND('VEL-LECT'!AL16,"AAAAAHs6ZhQ=")</f>
        <v>#VALUE!</v>
      </c>
      <c r="V4" t="e">
        <f>AND('VEL-LECT'!AM16,"AAAAAHs6ZhU=")</f>
        <v>#VALUE!</v>
      </c>
      <c r="W4" t="e">
        <f>AND('VEL-LECT'!AN16,"AAAAAHs6ZhY=")</f>
        <v>#VALUE!</v>
      </c>
      <c r="X4" t="e">
        <f>AND('VEL-LECT'!AO16,"AAAAAHs6Zhc=")</f>
        <v>#VALUE!</v>
      </c>
      <c r="Y4" t="e">
        <f>AND('VEL-LECT'!AP16,"AAAAAHs6Zhg=")</f>
        <v>#VALUE!</v>
      </c>
      <c r="Z4" t="e">
        <f>AND('VEL-LECT'!AQ16,"AAAAAHs6Zhk=")</f>
        <v>#VALUE!</v>
      </c>
      <c r="AA4" t="e">
        <f>AND('VEL-LECT'!AR16,"AAAAAHs6Zho=")</f>
        <v>#VALUE!</v>
      </c>
      <c r="AB4" t="e">
        <f>AND('VEL-LECT'!AS16,"AAAAAHs6Zhs=")</f>
        <v>#VALUE!</v>
      </c>
      <c r="AC4" t="e">
        <f>AND('VEL-LECT'!AT16,"AAAAAHs6Zhw=")</f>
        <v>#VALUE!</v>
      </c>
      <c r="AD4" t="e">
        <f>AND('VEL-LECT'!AU16,"AAAAAHs6Zh0=")</f>
        <v>#VALUE!</v>
      </c>
      <c r="AE4" t="e">
        <f>AND('VEL-LECT'!AV16,"AAAAAHs6Zh4=")</f>
        <v>#VALUE!</v>
      </c>
      <c r="AF4" t="e">
        <f>AND('VEL-LECT'!AW16,"AAAAAHs6Zh8=")</f>
        <v>#VALUE!</v>
      </c>
      <c r="AG4">
        <f>IF('VEL-LECT'!17:17,"AAAAAHs6ZiA=",0)</f>
        <v>0</v>
      </c>
      <c r="AH4" t="e">
        <f>AND('VEL-LECT'!A17,"AAAAAHs6ZiE=")</f>
        <v>#VALUE!</v>
      </c>
      <c r="AI4" t="e">
        <f>AND('VEL-LECT'!B17,"AAAAAHs6ZiI=")</f>
        <v>#VALUE!</v>
      </c>
      <c r="AJ4" t="e">
        <f>AND('VEL-LECT'!C17,"AAAAAHs6ZiM=")</f>
        <v>#VALUE!</v>
      </c>
      <c r="AK4" t="e">
        <f>AND('VEL-LECT'!D17,"AAAAAHs6ZiQ=")</f>
        <v>#VALUE!</v>
      </c>
      <c r="AL4" t="e">
        <f>AND('VEL-LECT'!E17,"AAAAAHs6ZiU=")</f>
        <v>#VALUE!</v>
      </c>
      <c r="AM4" t="e">
        <f>AND('VEL-LECT'!F17,"AAAAAHs6ZiY=")</f>
        <v>#VALUE!</v>
      </c>
      <c r="AN4" t="e">
        <f>AND('VEL-LECT'!G17,"AAAAAHs6Zic=")</f>
        <v>#VALUE!</v>
      </c>
      <c r="AO4" t="e">
        <f>AND('VEL-LECT'!H17,"AAAAAHs6Zig=")</f>
        <v>#VALUE!</v>
      </c>
      <c r="AP4" t="e">
        <f>AND('VEL-LECT'!I17,"AAAAAHs6Zik=")</f>
        <v>#VALUE!</v>
      </c>
      <c r="AQ4" t="e">
        <f>AND('VEL-LECT'!J17,"AAAAAHs6Zio=")</f>
        <v>#VALUE!</v>
      </c>
      <c r="AR4" t="e">
        <f>AND('VEL-LECT'!K17,"AAAAAHs6Zis=")</f>
        <v>#VALUE!</v>
      </c>
      <c r="AS4" t="e">
        <f>AND('VEL-LECT'!L17,"AAAAAHs6Ziw=")</f>
        <v>#VALUE!</v>
      </c>
      <c r="AT4" t="e">
        <f>AND('VEL-LECT'!M17,"AAAAAHs6Zi0=")</f>
        <v>#VALUE!</v>
      </c>
      <c r="AU4" t="e">
        <f>AND('VEL-LECT'!N17,"AAAAAHs6Zi4=")</f>
        <v>#VALUE!</v>
      </c>
      <c r="AV4" t="e">
        <f>AND('VEL-LECT'!O17,"AAAAAHs6Zi8=")</f>
        <v>#VALUE!</v>
      </c>
      <c r="AW4" t="e">
        <f>AND('VEL-LECT'!P17,"AAAAAHs6ZjA=")</f>
        <v>#VALUE!</v>
      </c>
      <c r="AX4" t="e">
        <f>AND('VEL-LECT'!Q17,"AAAAAHs6ZjE=")</f>
        <v>#VALUE!</v>
      </c>
      <c r="AY4" t="e">
        <f>AND('VEL-LECT'!R17,"AAAAAHs6ZjI=")</f>
        <v>#VALUE!</v>
      </c>
      <c r="AZ4" t="e">
        <f>AND('VEL-LECT'!S17,"AAAAAHs6ZjM=")</f>
        <v>#VALUE!</v>
      </c>
      <c r="BA4" t="e">
        <f>AND('VEL-LECT'!T17,"AAAAAHs6ZjQ=")</f>
        <v>#VALUE!</v>
      </c>
      <c r="BB4" t="e">
        <f>AND('VEL-LECT'!U17,"AAAAAHs6ZjU=")</f>
        <v>#VALUE!</v>
      </c>
      <c r="BC4" t="e">
        <f>AND('VEL-LECT'!V17,"AAAAAHs6ZjY=")</f>
        <v>#VALUE!</v>
      </c>
      <c r="BD4" t="e">
        <f>AND('VEL-LECT'!W17,"AAAAAHs6Zjc=")</f>
        <v>#VALUE!</v>
      </c>
      <c r="BE4" t="e">
        <f>AND('VEL-LECT'!X17,"AAAAAHs6Zjg=")</f>
        <v>#VALUE!</v>
      </c>
      <c r="BF4" t="e">
        <f>AND('VEL-LECT'!Y17,"AAAAAHs6Zjk=")</f>
        <v>#VALUE!</v>
      </c>
      <c r="BG4" t="e">
        <f>AND('VEL-LECT'!Z17,"AAAAAHs6Zjo=")</f>
        <v>#VALUE!</v>
      </c>
      <c r="BH4" t="e">
        <f>AND('VEL-LECT'!AA17,"AAAAAHs6Zjs=")</f>
        <v>#VALUE!</v>
      </c>
      <c r="BI4" t="e">
        <f>AND('VEL-LECT'!AB17,"AAAAAHs6Zjw=")</f>
        <v>#VALUE!</v>
      </c>
      <c r="BJ4" t="e">
        <f>AND('VEL-LECT'!AC17,"AAAAAHs6Zj0=")</f>
        <v>#VALUE!</v>
      </c>
      <c r="BK4" t="e">
        <f>AND('VEL-LECT'!AD17,"AAAAAHs6Zj4=")</f>
        <v>#VALUE!</v>
      </c>
      <c r="BL4" t="e">
        <f>AND('VEL-LECT'!AE17,"AAAAAHs6Zj8=")</f>
        <v>#VALUE!</v>
      </c>
      <c r="BM4" t="e">
        <f>AND('VEL-LECT'!AF17,"AAAAAHs6ZkA=")</f>
        <v>#VALUE!</v>
      </c>
      <c r="BN4" t="e">
        <f>AND('VEL-LECT'!AG17,"AAAAAHs6ZkE=")</f>
        <v>#VALUE!</v>
      </c>
      <c r="BO4" t="e">
        <f>AND('VEL-LECT'!AH17,"AAAAAHs6ZkI=")</f>
        <v>#VALUE!</v>
      </c>
      <c r="BP4" t="e">
        <f>AND('VEL-LECT'!AI17,"AAAAAHs6ZkM=")</f>
        <v>#VALUE!</v>
      </c>
      <c r="BQ4" t="e">
        <f>AND('VEL-LECT'!AJ17,"AAAAAHs6ZkQ=")</f>
        <v>#VALUE!</v>
      </c>
      <c r="BR4" t="e">
        <f>AND('VEL-LECT'!AK17,"AAAAAHs6ZkU=")</f>
        <v>#VALUE!</v>
      </c>
      <c r="BS4" t="e">
        <f>AND('VEL-LECT'!AL17,"AAAAAHs6ZkY=")</f>
        <v>#VALUE!</v>
      </c>
      <c r="BT4" t="e">
        <f>AND('VEL-LECT'!AM17,"AAAAAHs6Zkc=")</f>
        <v>#VALUE!</v>
      </c>
      <c r="BU4" t="e">
        <f>AND('VEL-LECT'!AN17,"AAAAAHs6Zkg=")</f>
        <v>#VALUE!</v>
      </c>
      <c r="BV4" t="e">
        <f>AND('VEL-LECT'!AO17,"AAAAAHs6Zkk=")</f>
        <v>#VALUE!</v>
      </c>
      <c r="BW4" t="e">
        <f>AND('VEL-LECT'!AP17,"AAAAAHs6Zko=")</f>
        <v>#VALUE!</v>
      </c>
      <c r="BX4" t="e">
        <f>AND('VEL-LECT'!AQ17,"AAAAAHs6Zks=")</f>
        <v>#VALUE!</v>
      </c>
      <c r="BY4" t="e">
        <f>AND('VEL-LECT'!AR17,"AAAAAHs6Zkw=")</f>
        <v>#VALUE!</v>
      </c>
      <c r="BZ4" t="e">
        <f>AND('VEL-LECT'!AS17,"AAAAAHs6Zk0=")</f>
        <v>#VALUE!</v>
      </c>
      <c r="CA4" t="e">
        <f>AND('VEL-LECT'!AT17,"AAAAAHs6Zk4=")</f>
        <v>#VALUE!</v>
      </c>
      <c r="CB4" t="e">
        <f>AND('VEL-LECT'!AU17,"AAAAAHs6Zk8=")</f>
        <v>#VALUE!</v>
      </c>
      <c r="CC4" t="e">
        <f>AND('VEL-LECT'!AV17,"AAAAAHs6ZlA=")</f>
        <v>#VALUE!</v>
      </c>
      <c r="CD4" t="e">
        <f>AND('VEL-LECT'!AW17,"AAAAAHs6ZlE=")</f>
        <v>#VALUE!</v>
      </c>
      <c r="CE4">
        <f>IF('VEL-LECT'!18:18,"AAAAAHs6ZlI=",0)</f>
        <v>0</v>
      </c>
      <c r="CF4" t="e">
        <f>AND('VEL-LECT'!A18,"AAAAAHs6ZlM=")</f>
        <v>#VALUE!</v>
      </c>
      <c r="CG4" t="e">
        <f>AND('VEL-LECT'!B18,"AAAAAHs6ZlQ=")</f>
        <v>#VALUE!</v>
      </c>
      <c r="CH4" t="e">
        <f>AND('VEL-LECT'!C18,"AAAAAHs6ZlU=")</f>
        <v>#VALUE!</v>
      </c>
      <c r="CI4" t="e">
        <f>AND('VEL-LECT'!D18,"AAAAAHs6ZlY=")</f>
        <v>#VALUE!</v>
      </c>
      <c r="CJ4" t="e">
        <f>AND('VEL-LECT'!E18,"AAAAAHs6Zlc=")</f>
        <v>#VALUE!</v>
      </c>
      <c r="CK4" t="e">
        <f>AND('VEL-LECT'!F18,"AAAAAHs6Zlg=")</f>
        <v>#VALUE!</v>
      </c>
      <c r="CL4" t="e">
        <f>AND('VEL-LECT'!G18,"AAAAAHs6Zlk=")</f>
        <v>#VALUE!</v>
      </c>
      <c r="CM4" t="e">
        <f>AND('VEL-LECT'!H18,"AAAAAHs6Zlo=")</f>
        <v>#VALUE!</v>
      </c>
      <c r="CN4" t="e">
        <f>AND('VEL-LECT'!I18,"AAAAAHs6Zls=")</f>
        <v>#VALUE!</v>
      </c>
      <c r="CO4" t="e">
        <f>AND('VEL-LECT'!J18,"AAAAAHs6Zlw=")</f>
        <v>#VALUE!</v>
      </c>
      <c r="CP4" t="e">
        <f>AND('VEL-LECT'!K18,"AAAAAHs6Zl0=")</f>
        <v>#VALUE!</v>
      </c>
      <c r="CQ4" t="e">
        <f>AND('VEL-LECT'!L18,"AAAAAHs6Zl4=")</f>
        <v>#VALUE!</v>
      </c>
      <c r="CR4" t="e">
        <f>AND('VEL-LECT'!M18,"AAAAAHs6Zl8=")</f>
        <v>#VALUE!</v>
      </c>
      <c r="CS4" t="e">
        <f>AND('VEL-LECT'!N18,"AAAAAHs6ZmA=")</f>
        <v>#VALUE!</v>
      </c>
      <c r="CT4" t="e">
        <f>AND('VEL-LECT'!O18,"AAAAAHs6ZmE=")</f>
        <v>#VALUE!</v>
      </c>
      <c r="CU4" t="e">
        <f>AND('VEL-LECT'!P18,"AAAAAHs6ZmI=")</f>
        <v>#VALUE!</v>
      </c>
      <c r="CV4" t="e">
        <f>AND('VEL-LECT'!Q18,"AAAAAHs6ZmM=")</f>
        <v>#VALUE!</v>
      </c>
      <c r="CW4" t="e">
        <f>AND('VEL-LECT'!R18,"AAAAAHs6ZmQ=")</f>
        <v>#VALUE!</v>
      </c>
      <c r="CX4" t="e">
        <f>AND('VEL-LECT'!S18,"AAAAAHs6ZmU=")</f>
        <v>#VALUE!</v>
      </c>
      <c r="CY4" t="e">
        <f>AND('VEL-LECT'!T18,"AAAAAHs6ZmY=")</f>
        <v>#VALUE!</v>
      </c>
      <c r="CZ4" t="e">
        <f>AND('VEL-LECT'!U18,"AAAAAHs6Zmc=")</f>
        <v>#VALUE!</v>
      </c>
      <c r="DA4" t="e">
        <f>AND('VEL-LECT'!V18,"AAAAAHs6Zmg=")</f>
        <v>#VALUE!</v>
      </c>
      <c r="DB4" t="e">
        <f>AND('VEL-LECT'!W18,"AAAAAHs6Zmk=")</f>
        <v>#VALUE!</v>
      </c>
      <c r="DC4" t="e">
        <f>AND('VEL-LECT'!X18,"AAAAAHs6Zmo=")</f>
        <v>#VALUE!</v>
      </c>
      <c r="DD4" t="e">
        <f>AND('VEL-LECT'!Y18,"AAAAAHs6Zms=")</f>
        <v>#VALUE!</v>
      </c>
      <c r="DE4" t="e">
        <f>AND('VEL-LECT'!Z18,"AAAAAHs6Zmw=")</f>
        <v>#VALUE!</v>
      </c>
      <c r="DF4" t="e">
        <f>AND('VEL-LECT'!AA18,"AAAAAHs6Zm0=")</f>
        <v>#VALUE!</v>
      </c>
      <c r="DG4" t="e">
        <f>AND('VEL-LECT'!AB18,"AAAAAHs6Zm4=")</f>
        <v>#VALUE!</v>
      </c>
      <c r="DH4" t="e">
        <f>AND('VEL-LECT'!AC18,"AAAAAHs6Zm8=")</f>
        <v>#VALUE!</v>
      </c>
      <c r="DI4" t="e">
        <f>AND('VEL-LECT'!AD18,"AAAAAHs6ZnA=")</f>
        <v>#VALUE!</v>
      </c>
      <c r="DJ4" t="e">
        <f>AND('VEL-LECT'!AE18,"AAAAAHs6ZnE=")</f>
        <v>#VALUE!</v>
      </c>
      <c r="DK4" t="e">
        <f>AND('VEL-LECT'!AF18,"AAAAAHs6ZnI=")</f>
        <v>#VALUE!</v>
      </c>
      <c r="DL4" t="e">
        <f>AND('VEL-LECT'!AG18,"AAAAAHs6ZnM=")</f>
        <v>#VALUE!</v>
      </c>
      <c r="DM4" t="e">
        <f>AND('VEL-LECT'!AH18,"AAAAAHs6ZnQ=")</f>
        <v>#VALUE!</v>
      </c>
      <c r="DN4" t="e">
        <f>AND('VEL-LECT'!AI18,"AAAAAHs6ZnU=")</f>
        <v>#VALUE!</v>
      </c>
      <c r="DO4" t="e">
        <f>AND('VEL-LECT'!AJ18,"AAAAAHs6ZnY=")</f>
        <v>#VALUE!</v>
      </c>
      <c r="DP4" t="e">
        <f>AND('VEL-LECT'!AK18,"AAAAAHs6Znc=")</f>
        <v>#VALUE!</v>
      </c>
      <c r="DQ4" t="e">
        <f>AND('VEL-LECT'!AL18,"AAAAAHs6Zng=")</f>
        <v>#VALUE!</v>
      </c>
      <c r="DR4" t="e">
        <f>AND('VEL-LECT'!AM18,"AAAAAHs6Znk=")</f>
        <v>#VALUE!</v>
      </c>
      <c r="DS4" t="e">
        <f>AND('VEL-LECT'!AN18,"AAAAAHs6Zno=")</f>
        <v>#VALUE!</v>
      </c>
      <c r="DT4" t="e">
        <f>AND('VEL-LECT'!AO18,"AAAAAHs6Zns=")</f>
        <v>#VALUE!</v>
      </c>
      <c r="DU4" t="e">
        <f>AND('VEL-LECT'!AP18,"AAAAAHs6Znw=")</f>
        <v>#VALUE!</v>
      </c>
      <c r="DV4" t="e">
        <f>AND('VEL-LECT'!AQ18,"AAAAAHs6Zn0=")</f>
        <v>#VALUE!</v>
      </c>
      <c r="DW4" t="e">
        <f>AND('VEL-LECT'!AR18,"AAAAAHs6Zn4=")</f>
        <v>#VALUE!</v>
      </c>
      <c r="DX4" t="e">
        <f>AND('VEL-LECT'!AS18,"AAAAAHs6Zn8=")</f>
        <v>#VALUE!</v>
      </c>
      <c r="DY4" t="e">
        <f>AND('VEL-LECT'!AT18,"AAAAAHs6ZoA=")</f>
        <v>#VALUE!</v>
      </c>
      <c r="DZ4" t="e">
        <f>AND('VEL-LECT'!AU18,"AAAAAHs6ZoE=")</f>
        <v>#VALUE!</v>
      </c>
      <c r="EA4" t="e">
        <f>AND('VEL-LECT'!AV18,"AAAAAHs6ZoI=")</f>
        <v>#VALUE!</v>
      </c>
      <c r="EB4" t="e">
        <f>AND('VEL-LECT'!AW18,"AAAAAHs6ZoM=")</f>
        <v>#VALUE!</v>
      </c>
      <c r="EC4">
        <f>IF('VEL-LECT'!19:19,"AAAAAHs6ZoQ=",0)</f>
        <v>0</v>
      </c>
      <c r="ED4" t="e">
        <f>AND('VEL-LECT'!A19,"AAAAAHs6ZoU=")</f>
        <v>#VALUE!</v>
      </c>
      <c r="EE4" t="e">
        <f>AND('VEL-LECT'!B19,"AAAAAHs6ZoY=")</f>
        <v>#VALUE!</v>
      </c>
      <c r="EF4" t="e">
        <f>AND('VEL-LECT'!C19,"AAAAAHs6Zoc=")</f>
        <v>#VALUE!</v>
      </c>
      <c r="EG4" t="e">
        <f>AND('VEL-LECT'!D19,"AAAAAHs6Zog=")</f>
        <v>#VALUE!</v>
      </c>
      <c r="EH4" t="e">
        <f>AND('VEL-LECT'!E19,"AAAAAHs6Zok=")</f>
        <v>#VALUE!</v>
      </c>
      <c r="EI4" t="e">
        <f>AND('VEL-LECT'!F19,"AAAAAHs6Zoo=")</f>
        <v>#VALUE!</v>
      </c>
      <c r="EJ4" t="e">
        <f>AND('VEL-LECT'!G19,"AAAAAHs6Zos=")</f>
        <v>#VALUE!</v>
      </c>
      <c r="EK4" t="e">
        <f>AND('VEL-LECT'!H19,"AAAAAHs6Zow=")</f>
        <v>#VALUE!</v>
      </c>
      <c r="EL4" t="e">
        <f>AND('VEL-LECT'!I19,"AAAAAHs6Zo0=")</f>
        <v>#VALUE!</v>
      </c>
      <c r="EM4" t="e">
        <f>AND('VEL-LECT'!J19,"AAAAAHs6Zo4=")</f>
        <v>#VALUE!</v>
      </c>
      <c r="EN4" t="e">
        <f>AND('VEL-LECT'!K19,"AAAAAHs6Zo8=")</f>
        <v>#VALUE!</v>
      </c>
      <c r="EO4" t="e">
        <f>AND('VEL-LECT'!L19,"AAAAAHs6ZpA=")</f>
        <v>#VALUE!</v>
      </c>
      <c r="EP4" t="e">
        <f>AND('VEL-LECT'!M19,"AAAAAHs6ZpE=")</f>
        <v>#VALUE!</v>
      </c>
      <c r="EQ4" t="e">
        <f>AND('VEL-LECT'!N19,"AAAAAHs6ZpI=")</f>
        <v>#VALUE!</v>
      </c>
      <c r="ER4" t="e">
        <f>AND('VEL-LECT'!O19,"AAAAAHs6ZpM=")</f>
        <v>#VALUE!</v>
      </c>
      <c r="ES4" t="e">
        <f>AND('VEL-LECT'!P19,"AAAAAHs6ZpQ=")</f>
        <v>#VALUE!</v>
      </c>
      <c r="ET4" t="e">
        <f>AND('VEL-LECT'!Q19,"AAAAAHs6ZpU=")</f>
        <v>#VALUE!</v>
      </c>
      <c r="EU4" t="e">
        <f>AND('VEL-LECT'!R19,"AAAAAHs6ZpY=")</f>
        <v>#VALUE!</v>
      </c>
      <c r="EV4" t="e">
        <f>AND('VEL-LECT'!S19,"AAAAAHs6Zpc=")</f>
        <v>#VALUE!</v>
      </c>
      <c r="EW4" t="e">
        <f>AND('VEL-LECT'!T19,"AAAAAHs6Zpg=")</f>
        <v>#VALUE!</v>
      </c>
      <c r="EX4" t="e">
        <f>AND('VEL-LECT'!U19,"AAAAAHs6Zpk=")</f>
        <v>#VALUE!</v>
      </c>
      <c r="EY4" t="e">
        <f>AND('VEL-LECT'!V19,"AAAAAHs6Zpo=")</f>
        <v>#VALUE!</v>
      </c>
      <c r="EZ4" t="e">
        <f>AND('VEL-LECT'!W19,"AAAAAHs6Zps=")</f>
        <v>#VALUE!</v>
      </c>
      <c r="FA4" t="e">
        <f>AND('VEL-LECT'!X19,"AAAAAHs6Zpw=")</f>
        <v>#VALUE!</v>
      </c>
      <c r="FB4" t="e">
        <f>AND('VEL-LECT'!Y19,"AAAAAHs6Zp0=")</f>
        <v>#VALUE!</v>
      </c>
      <c r="FC4" t="e">
        <f>AND('VEL-LECT'!Z19,"AAAAAHs6Zp4=")</f>
        <v>#VALUE!</v>
      </c>
      <c r="FD4" t="e">
        <f>AND('VEL-LECT'!AA19,"AAAAAHs6Zp8=")</f>
        <v>#VALUE!</v>
      </c>
      <c r="FE4" t="e">
        <f>AND('VEL-LECT'!AB19,"AAAAAHs6ZqA=")</f>
        <v>#VALUE!</v>
      </c>
      <c r="FF4" t="e">
        <f>AND('VEL-LECT'!AC19,"AAAAAHs6ZqE=")</f>
        <v>#VALUE!</v>
      </c>
      <c r="FG4" t="e">
        <f>AND('VEL-LECT'!AD19,"AAAAAHs6ZqI=")</f>
        <v>#VALUE!</v>
      </c>
      <c r="FH4" t="e">
        <f>AND('VEL-LECT'!AE19,"AAAAAHs6ZqM=")</f>
        <v>#VALUE!</v>
      </c>
      <c r="FI4" t="e">
        <f>AND('VEL-LECT'!AF19,"AAAAAHs6ZqQ=")</f>
        <v>#VALUE!</v>
      </c>
      <c r="FJ4" t="e">
        <f>AND('VEL-LECT'!AG19,"AAAAAHs6ZqU=")</f>
        <v>#VALUE!</v>
      </c>
      <c r="FK4" t="e">
        <f>AND('VEL-LECT'!AH19,"AAAAAHs6ZqY=")</f>
        <v>#VALUE!</v>
      </c>
      <c r="FL4" t="e">
        <f>AND('VEL-LECT'!AI19,"AAAAAHs6Zqc=")</f>
        <v>#VALUE!</v>
      </c>
      <c r="FM4" t="e">
        <f>AND('VEL-LECT'!AJ19,"AAAAAHs6Zqg=")</f>
        <v>#VALUE!</v>
      </c>
      <c r="FN4" t="e">
        <f>AND('VEL-LECT'!AK19,"AAAAAHs6Zqk=")</f>
        <v>#VALUE!</v>
      </c>
      <c r="FO4" t="e">
        <f>AND('VEL-LECT'!AL19,"AAAAAHs6Zqo=")</f>
        <v>#VALUE!</v>
      </c>
      <c r="FP4" t="e">
        <f>AND('VEL-LECT'!AM19,"AAAAAHs6Zqs=")</f>
        <v>#VALUE!</v>
      </c>
      <c r="FQ4" t="e">
        <f>AND('VEL-LECT'!AN19,"AAAAAHs6Zqw=")</f>
        <v>#VALUE!</v>
      </c>
      <c r="FR4" t="e">
        <f>AND('VEL-LECT'!AO19,"AAAAAHs6Zq0=")</f>
        <v>#VALUE!</v>
      </c>
      <c r="FS4" t="e">
        <f>AND('VEL-LECT'!AP19,"AAAAAHs6Zq4=")</f>
        <v>#VALUE!</v>
      </c>
      <c r="FT4" t="e">
        <f>AND('VEL-LECT'!AQ19,"AAAAAHs6Zq8=")</f>
        <v>#VALUE!</v>
      </c>
      <c r="FU4" t="e">
        <f>AND('VEL-LECT'!AR19,"AAAAAHs6ZrA=")</f>
        <v>#VALUE!</v>
      </c>
      <c r="FV4" t="e">
        <f>AND('VEL-LECT'!AS19,"AAAAAHs6ZrE=")</f>
        <v>#VALUE!</v>
      </c>
      <c r="FW4" t="e">
        <f>AND('VEL-LECT'!AT19,"AAAAAHs6ZrI=")</f>
        <v>#VALUE!</v>
      </c>
      <c r="FX4" t="e">
        <f>AND('VEL-LECT'!AU19,"AAAAAHs6ZrM=")</f>
        <v>#VALUE!</v>
      </c>
      <c r="FY4" t="e">
        <f>AND('VEL-LECT'!AV19,"AAAAAHs6ZrQ=")</f>
        <v>#VALUE!</v>
      </c>
      <c r="FZ4" t="e">
        <f>AND('VEL-LECT'!AW19,"AAAAAHs6ZrU=")</f>
        <v>#VALUE!</v>
      </c>
      <c r="GA4">
        <f>IF('VEL-LECT'!20:20,"AAAAAHs6ZrY=",0)</f>
        <v>0</v>
      </c>
      <c r="GB4" t="e">
        <f>AND('VEL-LECT'!A20,"AAAAAHs6Zrc=")</f>
        <v>#VALUE!</v>
      </c>
      <c r="GC4" t="e">
        <f>AND('VEL-LECT'!B20,"AAAAAHs6Zrg=")</f>
        <v>#VALUE!</v>
      </c>
      <c r="GD4" t="e">
        <f>AND('VEL-LECT'!C20,"AAAAAHs6Zrk=")</f>
        <v>#VALUE!</v>
      </c>
      <c r="GE4" t="e">
        <f>AND('VEL-LECT'!D20,"AAAAAHs6Zro=")</f>
        <v>#VALUE!</v>
      </c>
      <c r="GF4" t="e">
        <f>AND('VEL-LECT'!E20,"AAAAAHs6Zrs=")</f>
        <v>#VALUE!</v>
      </c>
      <c r="GG4" t="e">
        <f>AND('VEL-LECT'!F20,"AAAAAHs6Zrw=")</f>
        <v>#VALUE!</v>
      </c>
      <c r="GH4" t="e">
        <f>AND('VEL-LECT'!G20,"AAAAAHs6Zr0=")</f>
        <v>#VALUE!</v>
      </c>
      <c r="GI4" t="e">
        <f>AND('VEL-LECT'!H20,"AAAAAHs6Zr4=")</f>
        <v>#VALUE!</v>
      </c>
      <c r="GJ4" t="e">
        <f>AND('VEL-LECT'!I20,"AAAAAHs6Zr8=")</f>
        <v>#VALUE!</v>
      </c>
      <c r="GK4" t="e">
        <f>AND('VEL-LECT'!J20,"AAAAAHs6ZsA=")</f>
        <v>#VALUE!</v>
      </c>
      <c r="GL4" t="e">
        <f>AND('VEL-LECT'!K20,"AAAAAHs6ZsE=")</f>
        <v>#VALUE!</v>
      </c>
      <c r="GM4" t="e">
        <f>AND('VEL-LECT'!L20,"AAAAAHs6ZsI=")</f>
        <v>#VALUE!</v>
      </c>
      <c r="GN4" t="e">
        <f>AND('VEL-LECT'!M20,"AAAAAHs6ZsM=")</f>
        <v>#VALUE!</v>
      </c>
      <c r="GO4" t="e">
        <f>AND('VEL-LECT'!N20,"AAAAAHs6ZsQ=")</f>
        <v>#VALUE!</v>
      </c>
      <c r="GP4" t="e">
        <f>AND('VEL-LECT'!O20,"AAAAAHs6ZsU=")</f>
        <v>#VALUE!</v>
      </c>
      <c r="GQ4" t="e">
        <f>AND('VEL-LECT'!P20,"AAAAAHs6ZsY=")</f>
        <v>#VALUE!</v>
      </c>
      <c r="GR4" t="e">
        <f>AND('VEL-LECT'!Q20,"AAAAAHs6Zsc=")</f>
        <v>#VALUE!</v>
      </c>
      <c r="GS4" t="e">
        <f>AND('VEL-LECT'!R20,"AAAAAHs6Zsg=")</f>
        <v>#VALUE!</v>
      </c>
      <c r="GT4" t="e">
        <f>AND('VEL-LECT'!S20,"AAAAAHs6Zsk=")</f>
        <v>#VALUE!</v>
      </c>
      <c r="GU4" t="e">
        <f>AND('VEL-LECT'!T20,"AAAAAHs6Zso=")</f>
        <v>#VALUE!</v>
      </c>
      <c r="GV4" t="e">
        <f>AND('VEL-LECT'!U20,"AAAAAHs6Zss=")</f>
        <v>#VALUE!</v>
      </c>
      <c r="GW4" t="e">
        <f>AND('VEL-LECT'!V20,"AAAAAHs6Zsw=")</f>
        <v>#VALUE!</v>
      </c>
      <c r="GX4" t="e">
        <f>AND('VEL-LECT'!W20,"AAAAAHs6Zs0=")</f>
        <v>#VALUE!</v>
      </c>
      <c r="GY4" t="e">
        <f>AND('VEL-LECT'!X20,"AAAAAHs6Zs4=")</f>
        <v>#VALUE!</v>
      </c>
      <c r="GZ4" t="e">
        <f>AND('VEL-LECT'!Y20,"AAAAAHs6Zs8=")</f>
        <v>#VALUE!</v>
      </c>
      <c r="HA4" t="e">
        <f>AND('VEL-LECT'!Z20,"AAAAAHs6ZtA=")</f>
        <v>#VALUE!</v>
      </c>
      <c r="HB4" t="e">
        <f>AND('VEL-LECT'!AA20,"AAAAAHs6ZtE=")</f>
        <v>#VALUE!</v>
      </c>
      <c r="HC4" t="e">
        <f>AND('VEL-LECT'!AB20,"AAAAAHs6ZtI=")</f>
        <v>#VALUE!</v>
      </c>
      <c r="HD4" t="e">
        <f>AND('VEL-LECT'!AC20,"AAAAAHs6ZtM=")</f>
        <v>#VALUE!</v>
      </c>
      <c r="HE4" t="e">
        <f>AND('VEL-LECT'!AD20,"AAAAAHs6ZtQ=")</f>
        <v>#VALUE!</v>
      </c>
      <c r="HF4" t="e">
        <f>AND('VEL-LECT'!AE20,"AAAAAHs6ZtU=")</f>
        <v>#VALUE!</v>
      </c>
      <c r="HG4" t="e">
        <f>AND('VEL-LECT'!AF20,"AAAAAHs6ZtY=")</f>
        <v>#VALUE!</v>
      </c>
      <c r="HH4" t="e">
        <f>AND('VEL-LECT'!AG20,"AAAAAHs6Ztc=")</f>
        <v>#VALUE!</v>
      </c>
      <c r="HI4" t="e">
        <f>AND('VEL-LECT'!AH20,"AAAAAHs6Ztg=")</f>
        <v>#VALUE!</v>
      </c>
      <c r="HJ4" t="e">
        <f>AND('VEL-LECT'!AI20,"AAAAAHs6Ztk=")</f>
        <v>#VALUE!</v>
      </c>
      <c r="HK4" t="e">
        <f>AND('VEL-LECT'!AJ20,"AAAAAHs6Zto=")</f>
        <v>#VALUE!</v>
      </c>
      <c r="HL4" t="e">
        <f>AND('VEL-LECT'!AK20,"AAAAAHs6Zts=")</f>
        <v>#VALUE!</v>
      </c>
      <c r="HM4" t="e">
        <f>AND('VEL-LECT'!AL20,"AAAAAHs6Ztw=")</f>
        <v>#VALUE!</v>
      </c>
      <c r="HN4" t="e">
        <f>AND('VEL-LECT'!AM20,"AAAAAHs6Zt0=")</f>
        <v>#VALUE!</v>
      </c>
      <c r="HO4" t="e">
        <f>AND('VEL-LECT'!AN20,"AAAAAHs6Zt4=")</f>
        <v>#VALUE!</v>
      </c>
      <c r="HP4" t="e">
        <f>AND('VEL-LECT'!AO20,"AAAAAHs6Zt8=")</f>
        <v>#VALUE!</v>
      </c>
      <c r="HQ4" t="e">
        <f>AND('VEL-LECT'!AP20,"AAAAAHs6ZuA=")</f>
        <v>#VALUE!</v>
      </c>
      <c r="HR4" t="e">
        <f>AND('VEL-LECT'!AQ20,"AAAAAHs6ZuE=")</f>
        <v>#VALUE!</v>
      </c>
      <c r="HS4" t="e">
        <f>AND('VEL-LECT'!AR20,"AAAAAHs6ZuI=")</f>
        <v>#VALUE!</v>
      </c>
      <c r="HT4" t="e">
        <f>AND('VEL-LECT'!AS20,"AAAAAHs6ZuM=")</f>
        <v>#VALUE!</v>
      </c>
      <c r="HU4" t="e">
        <f>AND('VEL-LECT'!AT20,"AAAAAHs6ZuQ=")</f>
        <v>#VALUE!</v>
      </c>
      <c r="HV4" t="e">
        <f>AND('VEL-LECT'!AU20,"AAAAAHs6ZuU=")</f>
        <v>#VALUE!</v>
      </c>
      <c r="HW4" t="e">
        <f>AND('VEL-LECT'!AV20,"AAAAAHs6ZuY=")</f>
        <v>#VALUE!</v>
      </c>
      <c r="HX4" t="e">
        <f>AND('VEL-LECT'!AW20,"AAAAAHs6Zuc=")</f>
        <v>#VALUE!</v>
      </c>
      <c r="HY4">
        <f>IF('VEL-LECT'!21:21,"AAAAAHs6Zug=",0)</f>
        <v>0</v>
      </c>
      <c r="HZ4" t="e">
        <f>AND('VEL-LECT'!A21,"AAAAAHs6Zuk=")</f>
        <v>#VALUE!</v>
      </c>
      <c r="IA4" t="e">
        <f>AND('VEL-LECT'!B21,"AAAAAHs6Zuo=")</f>
        <v>#VALUE!</v>
      </c>
      <c r="IB4" t="e">
        <f>AND('VEL-LECT'!C21,"AAAAAHs6Zus=")</f>
        <v>#VALUE!</v>
      </c>
      <c r="IC4" t="e">
        <f>AND('VEL-LECT'!D21,"AAAAAHs6Zuw=")</f>
        <v>#VALUE!</v>
      </c>
      <c r="ID4" t="e">
        <f>AND('VEL-LECT'!E21,"AAAAAHs6Zu0=")</f>
        <v>#VALUE!</v>
      </c>
      <c r="IE4" t="e">
        <f>AND('VEL-LECT'!F21,"AAAAAHs6Zu4=")</f>
        <v>#VALUE!</v>
      </c>
      <c r="IF4" t="e">
        <f>AND('VEL-LECT'!G21,"AAAAAHs6Zu8=")</f>
        <v>#VALUE!</v>
      </c>
      <c r="IG4" t="e">
        <f>AND('VEL-LECT'!H21,"AAAAAHs6ZvA=")</f>
        <v>#VALUE!</v>
      </c>
      <c r="IH4" t="e">
        <f>AND('VEL-LECT'!I21,"AAAAAHs6ZvE=")</f>
        <v>#VALUE!</v>
      </c>
      <c r="II4" t="e">
        <f>AND('VEL-LECT'!J21,"AAAAAHs6ZvI=")</f>
        <v>#VALUE!</v>
      </c>
      <c r="IJ4" t="e">
        <f>AND('VEL-LECT'!K21,"AAAAAHs6ZvM=")</f>
        <v>#VALUE!</v>
      </c>
      <c r="IK4" t="e">
        <f>AND('VEL-LECT'!L21,"AAAAAHs6ZvQ=")</f>
        <v>#VALUE!</v>
      </c>
      <c r="IL4" t="e">
        <f>AND('VEL-LECT'!M21,"AAAAAHs6ZvU=")</f>
        <v>#VALUE!</v>
      </c>
      <c r="IM4" t="e">
        <f>AND('VEL-LECT'!N21,"AAAAAHs6ZvY=")</f>
        <v>#VALUE!</v>
      </c>
      <c r="IN4" t="e">
        <f>AND('VEL-LECT'!O21,"AAAAAHs6Zvc=")</f>
        <v>#VALUE!</v>
      </c>
      <c r="IO4" t="e">
        <f>AND('VEL-LECT'!P21,"AAAAAHs6Zvg=")</f>
        <v>#VALUE!</v>
      </c>
      <c r="IP4" t="e">
        <f>AND('VEL-LECT'!Q21,"AAAAAHs6Zvk=")</f>
        <v>#VALUE!</v>
      </c>
      <c r="IQ4" t="e">
        <f>AND('VEL-LECT'!R21,"AAAAAHs6Zvo=")</f>
        <v>#VALUE!</v>
      </c>
      <c r="IR4" t="e">
        <f>AND('VEL-LECT'!S21,"AAAAAHs6Zvs=")</f>
        <v>#VALUE!</v>
      </c>
      <c r="IS4" t="e">
        <f>AND('VEL-LECT'!T21,"AAAAAHs6Zvw=")</f>
        <v>#VALUE!</v>
      </c>
      <c r="IT4" t="e">
        <f>AND('VEL-LECT'!U21,"AAAAAHs6Zv0=")</f>
        <v>#VALUE!</v>
      </c>
      <c r="IU4" t="e">
        <f>AND('VEL-LECT'!V21,"AAAAAHs6Zv4=")</f>
        <v>#VALUE!</v>
      </c>
      <c r="IV4" t="e">
        <f>AND('VEL-LECT'!W21,"AAAAAHs6Zv8=")</f>
        <v>#VALUE!</v>
      </c>
    </row>
    <row r="5" spans="1:256" ht="15">
      <c r="A5" t="e">
        <f>AND('VEL-LECT'!X21,"AAAAAFX71wA=")</f>
        <v>#VALUE!</v>
      </c>
      <c r="B5" t="e">
        <f>AND('VEL-LECT'!Y21,"AAAAAFX71wE=")</f>
        <v>#VALUE!</v>
      </c>
      <c r="C5" t="e">
        <f>AND('VEL-LECT'!Z21,"AAAAAFX71wI=")</f>
        <v>#VALUE!</v>
      </c>
      <c r="D5" t="e">
        <f>AND('VEL-LECT'!AA21,"AAAAAFX71wM=")</f>
        <v>#VALUE!</v>
      </c>
      <c r="E5" t="e">
        <f>AND('VEL-LECT'!AB21,"AAAAAFX71wQ=")</f>
        <v>#VALUE!</v>
      </c>
      <c r="F5" t="e">
        <f>AND('VEL-LECT'!AC21,"AAAAAFX71wU=")</f>
        <v>#VALUE!</v>
      </c>
      <c r="G5" t="e">
        <f>AND('VEL-LECT'!AD21,"AAAAAFX71wY=")</f>
        <v>#VALUE!</v>
      </c>
      <c r="H5" t="e">
        <f>AND('VEL-LECT'!AE21,"AAAAAFX71wc=")</f>
        <v>#VALUE!</v>
      </c>
      <c r="I5" t="e">
        <f>AND('VEL-LECT'!AF21,"AAAAAFX71wg=")</f>
        <v>#VALUE!</v>
      </c>
      <c r="J5" t="e">
        <f>AND('VEL-LECT'!AG21,"AAAAAFX71wk=")</f>
        <v>#VALUE!</v>
      </c>
      <c r="K5" t="e">
        <f>AND('VEL-LECT'!AH21,"AAAAAFX71wo=")</f>
        <v>#VALUE!</v>
      </c>
      <c r="L5" t="e">
        <f>AND('VEL-LECT'!AI21,"AAAAAFX71ws=")</f>
        <v>#VALUE!</v>
      </c>
      <c r="M5" t="e">
        <f>AND('VEL-LECT'!AJ21,"AAAAAFX71ww=")</f>
        <v>#VALUE!</v>
      </c>
      <c r="N5" t="e">
        <f>AND('VEL-LECT'!AK21,"AAAAAFX71w0=")</f>
        <v>#VALUE!</v>
      </c>
      <c r="O5" t="e">
        <f>AND('VEL-LECT'!AL21,"AAAAAFX71w4=")</f>
        <v>#VALUE!</v>
      </c>
      <c r="P5" t="e">
        <f>AND('VEL-LECT'!AM21,"AAAAAFX71w8=")</f>
        <v>#VALUE!</v>
      </c>
      <c r="Q5" t="e">
        <f>AND('VEL-LECT'!AN21,"AAAAAFX71xA=")</f>
        <v>#VALUE!</v>
      </c>
      <c r="R5" t="e">
        <f>AND('VEL-LECT'!AO21,"AAAAAFX71xE=")</f>
        <v>#VALUE!</v>
      </c>
      <c r="S5" t="e">
        <f>AND('VEL-LECT'!AP21,"AAAAAFX71xI=")</f>
        <v>#VALUE!</v>
      </c>
      <c r="T5" t="e">
        <f>AND('VEL-LECT'!AQ21,"AAAAAFX71xM=")</f>
        <v>#VALUE!</v>
      </c>
      <c r="U5" t="e">
        <f>AND('VEL-LECT'!AR21,"AAAAAFX71xQ=")</f>
        <v>#VALUE!</v>
      </c>
      <c r="V5" t="e">
        <f>AND('VEL-LECT'!AS21,"AAAAAFX71xU=")</f>
        <v>#VALUE!</v>
      </c>
      <c r="W5" t="e">
        <f>AND('VEL-LECT'!AT21,"AAAAAFX71xY=")</f>
        <v>#VALUE!</v>
      </c>
      <c r="X5" t="e">
        <f>AND('VEL-LECT'!AU21,"AAAAAFX71xc=")</f>
        <v>#VALUE!</v>
      </c>
      <c r="Y5" t="e">
        <f>AND('VEL-LECT'!AV21,"AAAAAFX71xg=")</f>
        <v>#VALUE!</v>
      </c>
      <c r="Z5" t="e">
        <f>AND('VEL-LECT'!AW21,"AAAAAFX71xk=")</f>
        <v>#VALUE!</v>
      </c>
      <c r="AA5" t="str">
        <f>IF('VEL-LECT'!22:22,"AAAAAFX71xo=",0)</f>
        <v>AAAAAFX71xo=</v>
      </c>
      <c r="AB5" t="e">
        <f>AND('VEL-LECT'!A22,"AAAAAFX71xs=")</f>
        <v>#VALUE!</v>
      </c>
      <c r="AC5" t="e">
        <f>AND('VEL-LECT'!B22,"AAAAAFX71xw=")</f>
        <v>#VALUE!</v>
      </c>
      <c r="AD5" t="e">
        <f>AND('VEL-LECT'!C22,"AAAAAFX71x0=")</f>
        <v>#VALUE!</v>
      </c>
      <c r="AE5" t="e">
        <f>AND('VEL-LECT'!D22,"AAAAAFX71x4=")</f>
        <v>#VALUE!</v>
      </c>
      <c r="AF5" t="e">
        <f>AND('VEL-LECT'!E22,"AAAAAFX71x8=")</f>
        <v>#VALUE!</v>
      </c>
      <c r="AG5" t="e">
        <f>AND('VEL-LECT'!F22,"AAAAAFX71yA=")</f>
        <v>#VALUE!</v>
      </c>
      <c r="AH5" t="e">
        <f>AND('VEL-LECT'!G22,"AAAAAFX71yE=")</f>
        <v>#VALUE!</v>
      </c>
      <c r="AI5" t="e">
        <f>AND('VEL-LECT'!H22,"AAAAAFX71yI=")</f>
        <v>#VALUE!</v>
      </c>
      <c r="AJ5" t="e">
        <f>AND('VEL-LECT'!I22,"AAAAAFX71yM=")</f>
        <v>#VALUE!</v>
      </c>
      <c r="AK5" t="e">
        <f>AND('VEL-LECT'!J22,"AAAAAFX71yQ=")</f>
        <v>#VALUE!</v>
      </c>
      <c r="AL5" t="e">
        <f>AND('VEL-LECT'!K22,"AAAAAFX71yU=")</f>
        <v>#VALUE!</v>
      </c>
      <c r="AM5" t="e">
        <f>AND('VEL-LECT'!L22,"AAAAAFX71yY=")</f>
        <v>#VALUE!</v>
      </c>
      <c r="AN5" t="e">
        <f>AND('VEL-LECT'!M22,"AAAAAFX71yc=")</f>
        <v>#VALUE!</v>
      </c>
      <c r="AO5" t="e">
        <f>AND('VEL-LECT'!N22,"AAAAAFX71yg=")</f>
        <v>#VALUE!</v>
      </c>
      <c r="AP5" t="e">
        <f>AND('VEL-LECT'!O22,"AAAAAFX71yk=")</f>
        <v>#VALUE!</v>
      </c>
      <c r="AQ5" t="e">
        <f>AND('VEL-LECT'!P22,"AAAAAFX71yo=")</f>
        <v>#VALUE!</v>
      </c>
      <c r="AR5" t="e">
        <f>AND('VEL-LECT'!Q22,"AAAAAFX71ys=")</f>
        <v>#VALUE!</v>
      </c>
      <c r="AS5" t="e">
        <f>AND('VEL-LECT'!R22,"AAAAAFX71yw=")</f>
        <v>#VALUE!</v>
      </c>
      <c r="AT5" t="e">
        <f>AND('VEL-LECT'!S22,"AAAAAFX71y0=")</f>
        <v>#VALUE!</v>
      </c>
      <c r="AU5" t="e">
        <f>AND('VEL-LECT'!T22,"AAAAAFX71y4=")</f>
        <v>#VALUE!</v>
      </c>
      <c r="AV5" t="e">
        <f>AND('VEL-LECT'!U22,"AAAAAFX71y8=")</f>
        <v>#VALUE!</v>
      </c>
      <c r="AW5" t="e">
        <f>AND('VEL-LECT'!V22,"AAAAAFX71zA=")</f>
        <v>#VALUE!</v>
      </c>
      <c r="AX5" t="e">
        <f>AND('VEL-LECT'!W22,"AAAAAFX71zE=")</f>
        <v>#VALUE!</v>
      </c>
      <c r="AY5" t="e">
        <f>AND('VEL-LECT'!X22,"AAAAAFX71zI=")</f>
        <v>#VALUE!</v>
      </c>
      <c r="AZ5" t="e">
        <f>AND('VEL-LECT'!Y22,"AAAAAFX71zM=")</f>
        <v>#VALUE!</v>
      </c>
      <c r="BA5" t="e">
        <f>AND('VEL-LECT'!Z22,"AAAAAFX71zQ=")</f>
        <v>#VALUE!</v>
      </c>
      <c r="BB5" t="e">
        <f>AND('VEL-LECT'!AA22,"AAAAAFX71zU=")</f>
        <v>#VALUE!</v>
      </c>
      <c r="BC5" t="e">
        <f>AND('VEL-LECT'!AB22,"AAAAAFX71zY=")</f>
        <v>#VALUE!</v>
      </c>
      <c r="BD5" t="e">
        <f>AND('VEL-LECT'!AC22,"AAAAAFX71zc=")</f>
        <v>#VALUE!</v>
      </c>
      <c r="BE5" t="e">
        <f>AND('VEL-LECT'!AD22,"AAAAAFX71zg=")</f>
        <v>#VALUE!</v>
      </c>
      <c r="BF5" t="e">
        <f>AND('VEL-LECT'!AE22,"AAAAAFX71zk=")</f>
        <v>#VALUE!</v>
      </c>
      <c r="BG5" t="e">
        <f>AND('VEL-LECT'!AF22,"AAAAAFX71zo=")</f>
        <v>#VALUE!</v>
      </c>
      <c r="BH5" t="e">
        <f>AND('VEL-LECT'!AG22,"AAAAAFX71zs=")</f>
        <v>#VALUE!</v>
      </c>
      <c r="BI5" t="e">
        <f>AND('VEL-LECT'!AH22,"AAAAAFX71zw=")</f>
        <v>#VALUE!</v>
      </c>
      <c r="BJ5" t="e">
        <f>AND('VEL-LECT'!AI22,"AAAAAFX71z0=")</f>
        <v>#VALUE!</v>
      </c>
      <c r="BK5" t="e">
        <f>AND('VEL-LECT'!AJ22,"AAAAAFX71z4=")</f>
        <v>#VALUE!</v>
      </c>
      <c r="BL5" t="e">
        <f>AND('VEL-LECT'!AK22,"AAAAAFX71z8=")</f>
        <v>#VALUE!</v>
      </c>
      <c r="BM5" t="e">
        <f>AND('VEL-LECT'!AL22,"AAAAAFX710A=")</f>
        <v>#VALUE!</v>
      </c>
      <c r="BN5" t="e">
        <f>AND('VEL-LECT'!AM22,"AAAAAFX710E=")</f>
        <v>#VALUE!</v>
      </c>
      <c r="BO5" t="e">
        <f>AND('VEL-LECT'!AN22,"AAAAAFX710I=")</f>
        <v>#VALUE!</v>
      </c>
      <c r="BP5" t="e">
        <f>AND('VEL-LECT'!AO22,"AAAAAFX710M=")</f>
        <v>#VALUE!</v>
      </c>
      <c r="BQ5" t="e">
        <f>AND('VEL-LECT'!AP22,"AAAAAFX710Q=")</f>
        <v>#VALUE!</v>
      </c>
      <c r="BR5" t="e">
        <f>AND('VEL-LECT'!AQ22,"AAAAAFX710U=")</f>
        <v>#VALUE!</v>
      </c>
      <c r="BS5" t="e">
        <f>AND('VEL-LECT'!AR22,"AAAAAFX710Y=")</f>
        <v>#VALUE!</v>
      </c>
      <c r="BT5" t="e">
        <f>AND('VEL-LECT'!AS22,"AAAAAFX710c=")</f>
        <v>#VALUE!</v>
      </c>
      <c r="BU5" t="e">
        <f>AND('VEL-LECT'!AT22,"AAAAAFX710g=")</f>
        <v>#VALUE!</v>
      </c>
      <c r="BV5" t="e">
        <f>AND('VEL-LECT'!AU22,"AAAAAFX710k=")</f>
        <v>#VALUE!</v>
      </c>
      <c r="BW5" t="e">
        <f>AND('VEL-LECT'!AV22,"AAAAAFX710o=")</f>
        <v>#VALUE!</v>
      </c>
      <c r="BX5" t="e">
        <f>AND('VEL-LECT'!AW22,"AAAAAFX710s=")</f>
        <v>#VALUE!</v>
      </c>
      <c r="BY5">
        <f>IF('VEL-LECT'!23:23,"AAAAAFX710w=",0)</f>
        <v>0</v>
      </c>
      <c r="BZ5" t="e">
        <f>AND('VEL-LECT'!A23,"AAAAAFX7100=")</f>
        <v>#VALUE!</v>
      </c>
      <c r="CA5" t="e">
        <f>AND('VEL-LECT'!B23,"AAAAAFX7104=")</f>
        <v>#VALUE!</v>
      </c>
      <c r="CB5" t="e">
        <f>AND('VEL-LECT'!C23,"AAAAAFX7108=")</f>
        <v>#VALUE!</v>
      </c>
      <c r="CC5" t="e">
        <f>AND('VEL-LECT'!D23,"AAAAAFX711A=")</f>
        <v>#VALUE!</v>
      </c>
      <c r="CD5" t="e">
        <f>AND('VEL-LECT'!E23,"AAAAAFX711E=")</f>
        <v>#VALUE!</v>
      </c>
      <c r="CE5" t="e">
        <f>AND('VEL-LECT'!F23,"AAAAAFX711I=")</f>
        <v>#VALUE!</v>
      </c>
      <c r="CF5" t="e">
        <f>AND('VEL-LECT'!G23,"AAAAAFX711M=")</f>
        <v>#VALUE!</v>
      </c>
      <c r="CG5" t="e">
        <f>AND('VEL-LECT'!H23,"AAAAAFX711Q=")</f>
        <v>#VALUE!</v>
      </c>
      <c r="CH5" t="e">
        <f>AND('VEL-LECT'!I23,"AAAAAFX711U=")</f>
        <v>#VALUE!</v>
      </c>
      <c r="CI5" t="e">
        <f>AND('VEL-LECT'!J23,"AAAAAFX711Y=")</f>
        <v>#VALUE!</v>
      </c>
      <c r="CJ5" t="e">
        <f>AND('VEL-LECT'!K23,"AAAAAFX711c=")</f>
        <v>#VALUE!</v>
      </c>
      <c r="CK5" t="e">
        <f>AND('VEL-LECT'!L23,"AAAAAFX711g=")</f>
        <v>#VALUE!</v>
      </c>
      <c r="CL5" t="e">
        <f>AND('VEL-LECT'!M23,"AAAAAFX711k=")</f>
        <v>#VALUE!</v>
      </c>
      <c r="CM5" t="e">
        <f>AND('VEL-LECT'!N23,"AAAAAFX711o=")</f>
        <v>#VALUE!</v>
      </c>
      <c r="CN5" t="e">
        <f>AND('VEL-LECT'!O23,"AAAAAFX711s=")</f>
        <v>#VALUE!</v>
      </c>
      <c r="CO5" t="e">
        <f>AND('VEL-LECT'!P23,"AAAAAFX711w=")</f>
        <v>#VALUE!</v>
      </c>
      <c r="CP5" t="e">
        <f>AND('VEL-LECT'!Q23,"AAAAAFX7110=")</f>
        <v>#VALUE!</v>
      </c>
      <c r="CQ5" t="e">
        <f>AND('VEL-LECT'!R23,"AAAAAFX7114=")</f>
        <v>#VALUE!</v>
      </c>
      <c r="CR5" t="e">
        <f>AND('VEL-LECT'!S23,"AAAAAFX7118=")</f>
        <v>#VALUE!</v>
      </c>
      <c r="CS5" t="e">
        <f>AND('VEL-LECT'!T23,"AAAAAFX712A=")</f>
        <v>#VALUE!</v>
      </c>
      <c r="CT5" t="e">
        <f>AND('VEL-LECT'!U23,"AAAAAFX712E=")</f>
        <v>#VALUE!</v>
      </c>
      <c r="CU5" t="e">
        <f>AND('VEL-LECT'!V23,"AAAAAFX712I=")</f>
        <v>#VALUE!</v>
      </c>
      <c r="CV5" t="e">
        <f>AND('VEL-LECT'!W23,"AAAAAFX712M=")</f>
        <v>#VALUE!</v>
      </c>
      <c r="CW5" t="e">
        <f>AND('VEL-LECT'!X23,"AAAAAFX712Q=")</f>
        <v>#VALUE!</v>
      </c>
      <c r="CX5" t="e">
        <f>AND('VEL-LECT'!Y23,"AAAAAFX712U=")</f>
        <v>#VALUE!</v>
      </c>
      <c r="CY5" t="e">
        <f>AND('VEL-LECT'!Z23,"AAAAAFX712Y=")</f>
        <v>#VALUE!</v>
      </c>
      <c r="CZ5" t="e">
        <f>AND('VEL-LECT'!AA23,"AAAAAFX712c=")</f>
        <v>#VALUE!</v>
      </c>
      <c r="DA5" t="e">
        <f>AND('VEL-LECT'!AB23,"AAAAAFX712g=")</f>
        <v>#VALUE!</v>
      </c>
      <c r="DB5" t="e">
        <f>AND('VEL-LECT'!AC23,"AAAAAFX712k=")</f>
        <v>#VALUE!</v>
      </c>
      <c r="DC5" t="e">
        <f>AND('VEL-LECT'!AD23,"AAAAAFX712o=")</f>
        <v>#VALUE!</v>
      </c>
      <c r="DD5" t="e">
        <f>AND('VEL-LECT'!AE23,"AAAAAFX712s=")</f>
        <v>#VALUE!</v>
      </c>
      <c r="DE5" t="e">
        <f>AND('VEL-LECT'!AF23,"AAAAAFX712w=")</f>
        <v>#VALUE!</v>
      </c>
      <c r="DF5" t="e">
        <f>AND('VEL-LECT'!AG23,"AAAAAFX7120=")</f>
        <v>#VALUE!</v>
      </c>
      <c r="DG5" t="e">
        <f>AND('VEL-LECT'!AH23,"AAAAAFX7124=")</f>
        <v>#VALUE!</v>
      </c>
      <c r="DH5" t="e">
        <f>AND('VEL-LECT'!AI23,"AAAAAFX7128=")</f>
        <v>#VALUE!</v>
      </c>
      <c r="DI5" t="e">
        <f>AND('VEL-LECT'!AJ23,"AAAAAFX713A=")</f>
        <v>#VALUE!</v>
      </c>
      <c r="DJ5" t="e">
        <f>AND('VEL-LECT'!AK23,"AAAAAFX713E=")</f>
        <v>#VALUE!</v>
      </c>
      <c r="DK5" t="e">
        <f>AND('VEL-LECT'!AL23,"AAAAAFX713I=")</f>
        <v>#VALUE!</v>
      </c>
      <c r="DL5" t="e">
        <f>AND('VEL-LECT'!AM23,"AAAAAFX713M=")</f>
        <v>#VALUE!</v>
      </c>
      <c r="DM5" t="e">
        <f>AND('VEL-LECT'!AN23,"AAAAAFX713Q=")</f>
        <v>#VALUE!</v>
      </c>
      <c r="DN5" t="e">
        <f>AND('VEL-LECT'!AO23,"AAAAAFX713U=")</f>
        <v>#VALUE!</v>
      </c>
      <c r="DO5" t="e">
        <f>AND('VEL-LECT'!AP23,"AAAAAFX713Y=")</f>
        <v>#VALUE!</v>
      </c>
      <c r="DP5" t="e">
        <f>AND('VEL-LECT'!AQ23,"AAAAAFX713c=")</f>
        <v>#VALUE!</v>
      </c>
      <c r="DQ5" t="e">
        <f>AND('VEL-LECT'!AR23,"AAAAAFX713g=")</f>
        <v>#VALUE!</v>
      </c>
      <c r="DR5" t="e">
        <f>AND('VEL-LECT'!AS23,"AAAAAFX713k=")</f>
        <v>#VALUE!</v>
      </c>
      <c r="DS5" t="e">
        <f>AND('VEL-LECT'!AT23,"AAAAAFX713o=")</f>
        <v>#VALUE!</v>
      </c>
      <c r="DT5" t="e">
        <f>AND('VEL-LECT'!AU23,"AAAAAFX713s=")</f>
        <v>#VALUE!</v>
      </c>
      <c r="DU5" t="e">
        <f>AND('VEL-LECT'!AV23,"AAAAAFX713w=")</f>
        <v>#VALUE!</v>
      </c>
      <c r="DV5" t="e">
        <f>AND('VEL-LECT'!AW23,"AAAAAFX7130=")</f>
        <v>#VALUE!</v>
      </c>
      <c r="DW5">
        <f>IF('VEL-LECT'!24:24,"AAAAAFX7134=",0)</f>
        <v>0</v>
      </c>
      <c r="DX5" t="e">
        <f>AND('VEL-LECT'!A24,"AAAAAFX7138=")</f>
        <v>#VALUE!</v>
      </c>
      <c r="DY5" t="e">
        <f>AND('VEL-LECT'!B24,"AAAAAFX714A=")</f>
        <v>#VALUE!</v>
      </c>
      <c r="DZ5" t="e">
        <f>AND('VEL-LECT'!C24,"AAAAAFX714E=")</f>
        <v>#VALUE!</v>
      </c>
      <c r="EA5" t="e">
        <f>AND('VEL-LECT'!D24,"AAAAAFX714I=")</f>
        <v>#VALUE!</v>
      </c>
      <c r="EB5" t="e">
        <f>AND('VEL-LECT'!E24,"AAAAAFX714M=")</f>
        <v>#VALUE!</v>
      </c>
      <c r="EC5" t="e">
        <f>AND('VEL-LECT'!F24,"AAAAAFX714Q=")</f>
        <v>#VALUE!</v>
      </c>
      <c r="ED5" t="e">
        <f>AND('VEL-LECT'!G24,"AAAAAFX714U=")</f>
        <v>#VALUE!</v>
      </c>
      <c r="EE5" t="e">
        <f>AND('VEL-LECT'!H24,"AAAAAFX714Y=")</f>
        <v>#VALUE!</v>
      </c>
      <c r="EF5" t="e">
        <f>AND('VEL-LECT'!I24,"AAAAAFX714c=")</f>
        <v>#VALUE!</v>
      </c>
      <c r="EG5" t="e">
        <f>AND('VEL-LECT'!J24,"AAAAAFX714g=")</f>
        <v>#VALUE!</v>
      </c>
      <c r="EH5" t="e">
        <f>AND('VEL-LECT'!K24,"AAAAAFX714k=")</f>
        <v>#VALUE!</v>
      </c>
      <c r="EI5" t="e">
        <f>AND('VEL-LECT'!L24,"AAAAAFX714o=")</f>
        <v>#VALUE!</v>
      </c>
      <c r="EJ5" t="e">
        <f>AND('VEL-LECT'!M24,"AAAAAFX714s=")</f>
        <v>#VALUE!</v>
      </c>
      <c r="EK5" t="e">
        <f>AND('VEL-LECT'!N24,"AAAAAFX714w=")</f>
        <v>#VALUE!</v>
      </c>
      <c r="EL5" t="e">
        <f>AND('VEL-LECT'!O24,"AAAAAFX7140=")</f>
        <v>#VALUE!</v>
      </c>
      <c r="EM5" t="e">
        <f>AND('VEL-LECT'!P24,"AAAAAFX7144=")</f>
        <v>#VALUE!</v>
      </c>
      <c r="EN5" t="e">
        <f>AND('VEL-LECT'!Q24,"AAAAAFX7148=")</f>
        <v>#VALUE!</v>
      </c>
      <c r="EO5" t="e">
        <f>AND('VEL-LECT'!R24,"AAAAAFX715A=")</f>
        <v>#VALUE!</v>
      </c>
      <c r="EP5" t="e">
        <f>AND('VEL-LECT'!S24,"AAAAAFX715E=")</f>
        <v>#VALUE!</v>
      </c>
      <c r="EQ5" t="e">
        <f>AND('VEL-LECT'!T24,"AAAAAFX715I=")</f>
        <v>#VALUE!</v>
      </c>
      <c r="ER5" t="e">
        <f>AND('VEL-LECT'!U24,"AAAAAFX715M=")</f>
        <v>#VALUE!</v>
      </c>
      <c r="ES5" t="e">
        <f>AND('VEL-LECT'!V24,"AAAAAFX715Q=")</f>
        <v>#VALUE!</v>
      </c>
      <c r="ET5" t="e">
        <f>AND('VEL-LECT'!W24,"AAAAAFX715U=")</f>
        <v>#VALUE!</v>
      </c>
      <c r="EU5" t="e">
        <f>AND('VEL-LECT'!X24,"AAAAAFX715Y=")</f>
        <v>#VALUE!</v>
      </c>
      <c r="EV5" t="e">
        <f>AND('VEL-LECT'!Y24,"AAAAAFX715c=")</f>
        <v>#VALUE!</v>
      </c>
      <c r="EW5" t="e">
        <f>AND('VEL-LECT'!Z24,"AAAAAFX715g=")</f>
        <v>#VALUE!</v>
      </c>
      <c r="EX5" t="e">
        <f>AND('VEL-LECT'!AA24,"AAAAAFX715k=")</f>
        <v>#VALUE!</v>
      </c>
      <c r="EY5" t="e">
        <f>AND('VEL-LECT'!AB24,"AAAAAFX715o=")</f>
        <v>#VALUE!</v>
      </c>
      <c r="EZ5" t="e">
        <f>AND('VEL-LECT'!AC24,"AAAAAFX715s=")</f>
        <v>#VALUE!</v>
      </c>
      <c r="FA5" t="e">
        <f>AND('VEL-LECT'!AD24,"AAAAAFX715w=")</f>
        <v>#VALUE!</v>
      </c>
      <c r="FB5" t="e">
        <f>AND('VEL-LECT'!AE24,"AAAAAFX7150=")</f>
        <v>#VALUE!</v>
      </c>
      <c r="FC5" t="e">
        <f>AND('VEL-LECT'!AF24,"AAAAAFX7154=")</f>
        <v>#VALUE!</v>
      </c>
      <c r="FD5" t="e">
        <f>AND('VEL-LECT'!AG24,"AAAAAFX7158=")</f>
        <v>#VALUE!</v>
      </c>
      <c r="FE5" t="e">
        <f>AND('VEL-LECT'!AH24,"AAAAAFX716A=")</f>
        <v>#VALUE!</v>
      </c>
      <c r="FF5" t="e">
        <f>AND('VEL-LECT'!AI24,"AAAAAFX716E=")</f>
        <v>#VALUE!</v>
      </c>
      <c r="FG5" t="e">
        <f>AND('VEL-LECT'!AJ24,"AAAAAFX716I=")</f>
        <v>#VALUE!</v>
      </c>
      <c r="FH5" t="e">
        <f>AND('VEL-LECT'!AK24,"AAAAAFX716M=")</f>
        <v>#VALUE!</v>
      </c>
      <c r="FI5" t="e">
        <f>AND('VEL-LECT'!AL24,"AAAAAFX716Q=")</f>
        <v>#VALUE!</v>
      </c>
      <c r="FJ5" t="e">
        <f>AND('VEL-LECT'!AM24,"AAAAAFX716U=")</f>
        <v>#VALUE!</v>
      </c>
      <c r="FK5" t="e">
        <f>AND('VEL-LECT'!AN24,"AAAAAFX716Y=")</f>
        <v>#VALUE!</v>
      </c>
      <c r="FL5" t="e">
        <f>AND('VEL-LECT'!AO24,"AAAAAFX716c=")</f>
        <v>#VALUE!</v>
      </c>
      <c r="FM5" t="e">
        <f>AND('VEL-LECT'!AP24,"AAAAAFX716g=")</f>
        <v>#VALUE!</v>
      </c>
      <c r="FN5" t="e">
        <f>AND('VEL-LECT'!AQ24,"AAAAAFX716k=")</f>
        <v>#VALUE!</v>
      </c>
      <c r="FO5" t="e">
        <f>AND('VEL-LECT'!AR24,"AAAAAFX716o=")</f>
        <v>#VALUE!</v>
      </c>
      <c r="FP5" t="e">
        <f>AND('VEL-LECT'!AS24,"AAAAAFX716s=")</f>
        <v>#VALUE!</v>
      </c>
      <c r="FQ5" t="e">
        <f>AND('VEL-LECT'!AT24,"AAAAAFX716w=")</f>
        <v>#VALUE!</v>
      </c>
      <c r="FR5" t="e">
        <f>AND('VEL-LECT'!AU24,"AAAAAFX7160=")</f>
        <v>#VALUE!</v>
      </c>
      <c r="FS5" t="e">
        <f>AND('VEL-LECT'!AV24,"AAAAAFX7164=")</f>
        <v>#VALUE!</v>
      </c>
      <c r="FT5" t="e">
        <f>AND('VEL-LECT'!AW24,"AAAAAFX7168=")</f>
        <v>#VALUE!</v>
      </c>
      <c r="FU5">
        <f>IF('VEL-LECT'!25:25,"AAAAAFX717A=",0)</f>
        <v>0</v>
      </c>
      <c r="FV5" t="e">
        <f>AND('VEL-LECT'!A25,"AAAAAFX717E=")</f>
        <v>#VALUE!</v>
      </c>
      <c r="FW5" t="e">
        <f>AND('VEL-LECT'!B25,"AAAAAFX717I=")</f>
        <v>#VALUE!</v>
      </c>
      <c r="FX5" t="e">
        <f>AND('VEL-LECT'!C25,"AAAAAFX717M=")</f>
        <v>#VALUE!</v>
      </c>
      <c r="FY5" t="e">
        <f>AND('VEL-LECT'!D25,"AAAAAFX717Q=")</f>
        <v>#VALUE!</v>
      </c>
      <c r="FZ5" t="e">
        <f>AND('VEL-LECT'!E25,"AAAAAFX717U=")</f>
        <v>#VALUE!</v>
      </c>
      <c r="GA5" t="e">
        <f>AND('VEL-LECT'!F25,"AAAAAFX717Y=")</f>
        <v>#VALUE!</v>
      </c>
      <c r="GB5" t="e">
        <f>AND('VEL-LECT'!G25,"AAAAAFX717c=")</f>
        <v>#VALUE!</v>
      </c>
      <c r="GC5" t="e">
        <f>AND('VEL-LECT'!H25,"AAAAAFX717g=")</f>
        <v>#VALUE!</v>
      </c>
      <c r="GD5" t="e">
        <f>AND('VEL-LECT'!I25,"AAAAAFX717k=")</f>
        <v>#VALUE!</v>
      </c>
      <c r="GE5" t="e">
        <f>AND('VEL-LECT'!J25,"AAAAAFX717o=")</f>
        <v>#VALUE!</v>
      </c>
      <c r="GF5" t="e">
        <f>AND('VEL-LECT'!K25,"AAAAAFX717s=")</f>
        <v>#VALUE!</v>
      </c>
      <c r="GG5" t="e">
        <f>AND('VEL-LECT'!L25,"AAAAAFX717w=")</f>
        <v>#VALUE!</v>
      </c>
      <c r="GH5" t="e">
        <f>AND('VEL-LECT'!M25,"AAAAAFX7170=")</f>
        <v>#VALUE!</v>
      </c>
      <c r="GI5" t="e">
        <f>AND('VEL-LECT'!N25,"AAAAAFX7174=")</f>
        <v>#VALUE!</v>
      </c>
      <c r="GJ5" t="e">
        <f>AND('VEL-LECT'!O25,"AAAAAFX7178=")</f>
        <v>#VALUE!</v>
      </c>
      <c r="GK5" t="e">
        <f>AND('VEL-LECT'!P25,"AAAAAFX718A=")</f>
        <v>#VALUE!</v>
      </c>
      <c r="GL5" t="e">
        <f>AND('VEL-LECT'!Q25,"AAAAAFX718E=")</f>
        <v>#VALUE!</v>
      </c>
      <c r="GM5" t="e">
        <f>AND('VEL-LECT'!R25,"AAAAAFX718I=")</f>
        <v>#VALUE!</v>
      </c>
      <c r="GN5" t="e">
        <f>AND('VEL-LECT'!S25,"AAAAAFX718M=")</f>
        <v>#VALUE!</v>
      </c>
      <c r="GO5" t="e">
        <f>AND('VEL-LECT'!T25,"AAAAAFX718Q=")</f>
        <v>#VALUE!</v>
      </c>
      <c r="GP5" t="e">
        <f>AND('VEL-LECT'!U25,"AAAAAFX718U=")</f>
        <v>#VALUE!</v>
      </c>
      <c r="GQ5" t="e">
        <f>AND('VEL-LECT'!V25,"AAAAAFX718Y=")</f>
        <v>#VALUE!</v>
      </c>
      <c r="GR5" t="e">
        <f>AND('VEL-LECT'!W25,"AAAAAFX718c=")</f>
        <v>#VALUE!</v>
      </c>
      <c r="GS5" t="e">
        <f>AND('VEL-LECT'!X25,"AAAAAFX718g=")</f>
        <v>#VALUE!</v>
      </c>
      <c r="GT5" t="e">
        <f>AND('VEL-LECT'!Y25,"AAAAAFX718k=")</f>
        <v>#VALUE!</v>
      </c>
      <c r="GU5" t="e">
        <f>AND('VEL-LECT'!Z25,"AAAAAFX718o=")</f>
        <v>#VALUE!</v>
      </c>
      <c r="GV5" t="e">
        <f>AND('VEL-LECT'!AA25,"AAAAAFX718s=")</f>
        <v>#VALUE!</v>
      </c>
      <c r="GW5" t="e">
        <f>AND('VEL-LECT'!AB25,"AAAAAFX718w=")</f>
        <v>#VALUE!</v>
      </c>
      <c r="GX5" t="e">
        <f>AND('VEL-LECT'!AC25,"AAAAAFX7180=")</f>
        <v>#VALUE!</v>
      </c>
      <c r="GY5" t="e">
        <f>AND('VEL-LECT'!AD25,"AAAAAFX7184=")</f>
        <v>#VALUE!</v>
      </c>
      <c r="GZ5" t="e">
        <f>AND('VEL-LECT'!AE25,"AAAAAFX7188=")</f>
        <v>#VALUE!</v>
      </c>
      <c r="HA5" t="e">
        <f>AND('VEL-LECT'!AF25,"AAAAAFX719A=")</f>
        <v>#VALUE!</v>
      </c>
      <c r="HB5" t="e">
        <f>AND('VEL-LECT'!AG25,"AAAAAFX719E=")</f>
        <v>#VALUE!</v>
      </c>
      <c r="HC5" t="e">
        <f>AND('VEL-LECT'!AH25,"AAAAAFX719I=")</f>
        <v>#VALUE!</v>
      </c>
      <c r="HD5" t="e">
        <f>AND('VEL-LECT'!AI25,"AAAAAFX719M=")</f>
        <v>#VALUE!</v>
      </c>
      <c r="HE5" t="e">
        <f>AND('VEL-LECT'!AJ25,"AAAAAFX719Q=")</f>
        <v>#VALUE!</v>
      </c>
      <c r="HF5" t="e">
        <f>AND('VEL-LECT'!AK25,"AAAAAFX719U=")</f>
        <v>#VALUE!</v>
      </c>
      <c r="HG5" t="e">
        <f>AND('VEL-LECT'!AL25,"AAAAAFX719Y=")</f>
        <v>#VALUE!</v>
      </c>
      <c r="HH5" t="e">
        <f>AND('VEL-LECT'!AM25,"AAAAAFX719c=")</f>
        <v>#VALUE!</v>
      </c>
      <c r="HI5" t="e">
        <f>AND('VEL-LECT'!AN25,"AAAAAFX719g=")</f>
        <v>#VALUE!</v>
      </c>
      <c r="HJ5" t="e">
        <f>AND('VEL-LECT'!AO25,"AAAAAFX719k=")</f>
        <v>#VALUE!</v>
      </c>
      <c r="HK5" t="e">
        <f>AND('VEL-LECT'!AP25,"AAAAAFX719o=")</f>
        <v>#VALUE!</v>
      </c>
      <c r="HL5" t="e">
        <f>AND('VEL-LECT'!AQ25,"AAAAAFX719s=")</f>
        <v>#VALUE!</v>
      </c>
      <c r="HM5" t="e">
        <f>AND('VEL-LECT'!AR25,"AAAAAFX719w=")</f>
        <v>#VALUE!</v>
      </c>
      <c r="HN5" t="e">
        <f>AND('VEL-LECT'!AS25,"AAAAAFX7190=")</f>
        <v>#VALUE!</v>
      </c>
      <c r="HO5" t="e">
        <f>AND('VEL-LECT'!AT25,"AAAAAFX7194=")</f>
        <v>#VALUE!</v>
      </c>
      <c r="HP5" t="e">
        <f>AND('VEL-LECT'!AU25,"AAAAAFX7198=")</f>
        <v>#VALUE!</v>
      </c>
      <c r="HQ5" t="e">
        <f>AND('VEL-LECT'!AV25,"AAAAAFX71+A=")</f>
        <v>#VALUE!</v>
      </c>
      <c r="HR5" t="e">
        <f>AND('VEL-LECT'!AW25,"AAAAAFX71+E=")</f>
        <v>#VALUE!</v>
      </c>
      <c r="HS5">
        <f>IF('VEL-LECT'!26:26,"AAAAAFX71+I=",0)</f>
        <v>0</v>
      </c>
      <c r="HT5" t="e">
        <f>AND('VEL-LECT'!A26,"AAAAAFX71+M=")</f>
        <v>#VALUE!</v>
      </c>
      <c r="HU5" t="e">
        <f>AND('VEL-LECT'!B26,"AAAAAFX71+Q=")</f>
        <v>#VALUE!</v>
      </c>
      <c r="HV5" t="e">
        <f>AND('VEL-LECT'!C26,"AAAAAFX71+U=")</f>
        <v>#VALUE!</v>
      </c>
      <c r="HW5" t="e">
        <f>AND('VEL-LECT'!D26,"AAAAAFX71+Y=")</f>
        <v>#VALUE!</v>
      </c>
      <c r="HX5" t="e">
        <f>AND('VEL-LECT'!E26,"AAAAAFX71+c=")</f>
        <v>#VALUE!</v>
      </c>
      <c r="HY5" t="e">
        <f>AND('VEL-LECT'!F26,"AAAAAFX71+g=")</f>
        <v>#VALUE!</v>
      </c>
      <c r="HZ5" t="e">
        <f>AND('VEL-LECT'!G26,"AAAAAFX71+k=")</f>
        <v>#VALUE!</v>
      </c>
      <c r="IA5" t="e">
        <f>AND('VEL-LECT'!H26,"AAAAAFX71+o=")</f>
        <v>#VALUE!</v>
      </c>
      <c r="IB5" t="e">
        <f>AND('VEL-LECT'!I26,"AAAAAFX71+s=")</f>
        <v>#VALUE!</v>
      </c>
      <c r="IC5" t="e">
        <f>AND('VEL-LECT'!J26,"AAAAAFX71+w=")</f>
        <v>#VALUE!</v>
      </c>
      <c r="ID5" t="e">
        <f>AND('VEL-LECT'!K26,"AAAAAFX71+0=")</f>
        <v>#VALUE!</v>
      </c>
      <c r="IE5" t="e">
        <f>AND('VEL-LECT'!L26,"AAAAAFX71+4=")</f>
        <v>#VALUE!</v>
      </c>
      <c r="IF5" t="e">
        <f>AND('VEL-LECT'!M26,"AAAAAFX71+8=")</f>
        <v>#VALUE!</v>
      </c>
      <c r="IG5" t="e">
        <f>AND('VEL-LECT'!N26,"AAAAAFX71/A=")</f>
        <v>#VALUE!</v>
      </c>
      <c r="IH5" t="e">
        <f>AND('VEL-LECT'!O26,"AAAAAFX71/E=")</f>
        <v>#VALUE!</v>
      </c>
      <c r="II5" t="e">
        <f>AND('VEL-LECT'!P26,"AAAAAFX71/I=")</f>
        <v>#VALUE!</v>
      </c>
      <c r="IJ5" t="e">
        <f>AND('VEL-LECT'!Q26,"AAAAAFX71/M=")</f>
        <v>#VALUE!</v>
      </c>
      <c r="IK5" t="e">
        <f>AND('VEL-LECT'!R26,"AAAAAFX71/Q=")</f>
        <v>#VALUE!</v>
      </c>
      <c r="IL5" t="e">
        <f>AND('VEL-LECT'!S26,"AAAAAFX71/U=")</f>
        <v>#VALUE!</v>
      </c>
      <c r="IM5" t="e">
        <f>AND('VEL-LECT'!T26,"AAAAAFX71/Y=")</f>
        <v>#VALUE!</v>
      </c>
      <c r="IN5" t="e">
        <f>AND('VEL-LECT'!U26,"AAAAAFX71/c=")</f>
        <v>#VALUE!</v>
      </c>
      <c r="IO5" t="e">
        <f>AND('VEL-LECT'!V26,"AAAAAFX71/g=")</f>
        <v>#VALUE!</v>
      </c>
      <c r="IP5" t="e">
        <f>AND('VEL-LECT'!W26,"AAAAAFX71/k=")</f>
        <v>#VALUE!</v>
      </c>
      <c r="IQ5" t="e">
        <f>AND('VEL-LECT'!X26,"AAAAAFX71/o=")</f>
        <v>#VALUE!</v>
      </c>
      <c r="IR5" t="e">
        <f>AND('VEL-LECT'!Y26,"AAAAAFX71/s=")</f>
        <v>#VALUE!</v>
      </c>
      <c r="IS5" t="e">
        <f>AND('VEL-LECT'!Z26,"AAAAAFX71/w=")</f>
        <v>#VALUE!</v>
      </c>
      <c r="IT5" t="e">
        <f>AND('VEL-LECT'!AA26,"AAAAAFX71/0=")</f>
        <v>#VALUE!</v>
      </c>
      <c r="IU5" t="e">
        <f>AND('VEL-LECT'!AB26,"AAAAAFX71/4=")</f>
        <v>#VALUE!</v>
      </c>
      <c r="IV5" t="e">
        <f>AND('VEL-LECT'!AC26,"AAAAAFX71/8=")</f>
        <v>#VALUE!</v>
      </c>
    </row>
    <row r="6" spans="1:256" ht="15">
      <c r="A6" t="e">
        <f>AND('VEL-LECT'!AD26,"AAAAAHv6ZgA=")</f>
        <v>#VALUE!</v>
      </c>
      <c r="B6" t="e">
        <f>AND('VEL-LECT'!AE26,"AAAAAHv6ZgE=")</f>
        <v>#VALUE!</v>
      </c>
      <c r="C6" t="e">
        <f>AND('VEL-LECT'!AF26,"AAAAAHv6ZgI=")</f>
        <v>#VALUE!</v>
      </c>
      <c r="D6" t="e">
        <f>AND('VEL-LECT'!AG26,"AAAAAHv6ZgM=")</f>
        <v>#VALUE!</v>
      </c>
      <c r="E6" t="e">
        <f>AND('VEL-LECT'!AH26,"AAAAAHv6ZgQ=")</f>
        <v>#VALUE!</v>
      </c>
      <c r="F6" t="e">
        <f>AND('VEL-LECT'!AI26,"AAAAAHv6ZgU=")</f>
        <v>#VALUE!</v>
      </c>
      <c r="G6" t="e">
        <f>AND('VEL-LECT'!AJ26,"AAAAAHv6ZgY=")</f>
        <v>#VALUE!</v>
      </c>
      <c r="H6" t="e">
        <f>AND('VEL-LECT'!AK26,"AAAAAHv6Zgc=")</f>
        <v>#VALUE!</v>
      </c>
      <c r="I6" t="e">
        <f>AND('VEL-LECT'!AL26,"AAAAAHv6Zgg=")</f>
        <v>#VALUE!</v>
      </c>
      <c r="J6" t="e">
        <f>AND('VEL-LECT'!AM26,"AAAAAHv6Zgk=")</f>
        <v>#VALUE!</v>
      </c>
      <c r="K6" t="e">
        <f>AND('VEL-LECT'!AN26,"AAAAAHv6Zgo=")</f>
        <v>#VALUE!</v>
      </c>
      <c r="L6" t="e">
        <f>AND('VEL-LECT'!AO26,"AAAAAHv6Zgs=")</f>
        <v>#VALUE!</v>
      </c>
      <c r="M6" t="e">
        <f>AND('VEL-LECT'!AP26,"AAAAAHv6Zgw=")</f>
        <v>#VALUE!</v>
      </c>
      <c r="N6" t="e">
        <f>AND('VEL-LECT'!AQ26,"AAAAAHv6Zg0=")</f>
        <v>#VALUE!</v>
      </c>
      <c r="O6" t="e">
        <f>AND('VEL-LECT'!AR26,"AAAAAHv6Zg4=")</f>
        <v>#VALUE!</v>
      </c>
      <c r="P6" t="e">
        <f>AND('VEL-LECT'!AS26,"AAAAAHv6Zg8=")</f>
        <v>#VALUE!</v>
      </c>
      <c r="Q6" t="e">
        <f>AND('VEL-LECT'!AT26,"AAAAAHv6ZhA=")</f>
        <v>#VALUE!</v>
      </c>
      <c r="R6" t="e">
        <f>AND('VEL-LECT'!AU26,"AAAAAHv6ZhE=")</f>
        <v>#VALUE!</v>
      </c>
      <c r="S6" t="e">
        <f>AND('VEL-LECT'!AV26,"AAAAAHv6ZhI=")</f>
        <v>#VALUE!</v>
      </c>
      <c r="T6" t="e">
        <f>AND('VEL-LECT'!AW26,"AAAAAHv6ZhM=")</f>
        <v>#VALUE!</v>
      </c>
      <c r="U6">
        <f>IF('VEL-LECT'!27:27,"AAAAAHv6ZhQ=",0)</f>
        <v>0</v>
      </c>
      <c r="V6" t="e">
        <f>AND('VEL-LECT'!A27,"AAAAAHv6ZhU=")</f>
        <v>#VALUE!</v>
      </c>
      <c r="W6" t="e">
        <f>AND('VEL-LECT'!B27,"AAAAAHv6ZhY=")</f>
        <v>#VALUE!</v>
      </c>
      <c r="X6" t="e">
        <f>AND('VEL-LECT'!C27,"AAAAAHv6Zhc=")</f>
        <v>#VALUE!</v>
      </c>
      <c r="Y6" t="e">
        <f>AND('VEL-LECT'!D27,"AAAAAHv6Zhg=")</f>
        <v>#VALUE!</v>
      </c>
      <c r="Z6" t="e">
        <f>AND('VEL-LECT'!E27,"AAAAAHv6Zhk=")</f>
        <v>#VALUE!</v>
      </c>
      <c r="AA6" t="e">
        <f>AND('VEL-LECT'!F27,"AAAAAHv6Zho=")</f>
        <v>#VALUE!</v>
      </c>
      <c r="AB6" t="e">
        <f>AND('VEL-LECT'!G27,"AAAAAHv6Zhs=")</f>
        <v>#VALUE!</v>
      </c>
      <c r="AC6" t="e">
        <f>AND('VEL-LECT'!H27,"AAAAAHv6Zhw=")</f>
        <v>#VALUE!</v>
      </c>
      <c r="AD6" t="e">
        <f>AND('VEL-LECT'!I27,"AAAAAHv6Zh0=")</f>
        <v>#VALUE!</v>
      </c>
      <c r="AE6" t="e">
        <f>AND('VEL-LECT'!J27,"AAAAAHv6Zh4=")</f>
        <v>#VALUE!</v>
      </c>
      <c r="AF6" t="e">
        <f>AND('VEL-LECT'!K27,"AAAAAHv6Zh8=")</f>
        <v>#VALUE!</v>
      </c>
      <c r="AG6" t="e">
        <f>AND('VEL-LECT'!L27,"AAAAAHv6ZiA=")</f>
        <v>#VALUE!</v>
      </c>
      <c r="AH6" t="e">
        <f>AND('VEL-LECT'!M27,"AAAAAHv6ZiE=")</f>
        <v>#VALUE!</v>
      </c>
      <c r="AI6" t="e">
        <f>AND('VEL-LECT'!N27,"AAAAAHv6ZiI=")</f>
        <v>#VALUE!</v>
      </c>
      <c r="AJ6" t="e">
        <f>AND('VEL-LECT'!O27,"AAAAAHv6ZiM=")</f>
        <v>#VALUE!</v>
      </c>
      <c r="AK6" t="e">
        <f>AND('VEL-LECT'!P27,"AAAAAHv6ZiQ=")</f>
        <v>#VALUE!</v>
      </c>
      <c r="AL6" t="e">
        <f>AND('VEL-LECT'!Q27,"AAAAAHv6ZiU=")</f>
        <v>#VALUE!</v>
      </c>
      <c r="AM6" t="e">
        <f>AND('VEL-LECT'!R27,"AAAAAHv6ZiY=")</f>
        <v>#VALUE!</v>
      </c>
      <c r="AN6" t="e">
        <f>AND('VEL-LECT'!S27,"AAAAAHv6Zic=")</f>
        <v>#VALUE!</v>
      </c>
      <c r="AO6" t="e">
        <f>AND('VEL-LECT'!T27,"AAAAAHv6Zig=")</f>
        <v>#VALUE!</v>
      </c>
      <c r="AP6" t="e">
        <f>AND('VEL-LECT'!U27,"AAAAAHv6Zik=")</f>
        <v>#VALUE!</v>
      </c>
      <c r="AQ6" t="e">
        <f>AND('VEL-LECT'!V27,"AAAAAHv6Zio=")</f>
        <v>#VALUE!</v>
      </c>
      <c r="AR6" t="e">
        <f>AND('VEL-LECT'!W27,"AAAAAHv6Zis=")</f>
        <v>#VALUE!</v>
      </c>
      <c r="AS6" t="e">
        <f>AND('VEL-LECT'!X27,"AAAAAHv6Ziw=")</f>
        <v>#VALUE!</v>
      </c>
      <c r="AT6" t="e">
        <f>AND('VEL-LECT'!Y27,"AAAAAHv6Zi0=")</f>
        <v>#VALUE!</v>
      </c>
      <c r="AU6" t="e">
        <f>AND('VEL-LECT'!Z27,"AAAAAHv6Zi4=")</f>
        <v>#VALUE!</v>
      </c>
      <c r="AV6" t="e">
        <f>AND('VEL-LECT'!AA27,"AAAAAHv6Zi8=")</f>
        <v>#VALUE!</v>
      </c>
      <c r="AW6" t="e">
        <f>AND('VEL-LECT'!AB27,"AAAAAHv6ZjA=")</f>
        <v>#VALUE!</v>
      </c>
      <c r="AX6" t="e">
        <f>AND('VEL-LECT'!AC27,"AAAAAHv6ZjE=")</f>
        <v>#VALUE!</v>
      </c>
      <c r="AY6" t="e">
        <f>AND('VEL-LECT'!AD27,"AAAAAHv6ZjI=")</f>
        <v>#VALUE!</v>
      </c>
      <c r="AZ6" t="e">
        <f>AND('VEL-LECT'!AE27,"AAAAAHv6ZjM=")</f>
        <v>#VALUE!</v>
      </c>
      <c r="BA6" t="e">
        <f>AND('VEL-LECT'!AF27,"AAAAAHv6ZjQ=")</f>
        <v>#VALUE!</v>
      </c>
      <c r="BB6" t="e">
        <f>AND('VEL-LECT'!AG27,"AAAAAHv6ZjU=")</f>
        <v>#VALUE!</v>
      </c>
      <c r="BC6" t="e">
        <f>AND('VEL-LECT'!AH27,"AAAAAHv6ZjY=")</f>
        <v>#VALUE!</v>
      </c>
      <c r="BD6" t="e">
        <f>AND('VEL-LECT'!AI27,"AAAAAHv6Zjc=")</f>
        <v>#VALUE!</v>
      </c>
      <c r="BE6" t="e">
        <f>AND('VEL-LECT'!AJ27,"AAAAAHv6Zjg=")</f>
        <v>#VALUE!</v>
      </c>
      <c r="BF6" t="e">
        <f>AND('VEL-LECT'!AK27,"AAAAAHv6Zjk=")</f>
        <v>#VALUE!</v>
      </c>
      <c r="BG6" t="e">
        <f>AND('VEL-LECT'!AL27,"AAAAAHv6Zjo=")</f>
        <v>#VALUE!</v>
      </c>
      <c r="BH6" t="e">
        <f>AND('VEL-LECT'!AM27,"AAAAAHv6Zjs=")</f>
        <v>#VALUE!</v>
      </c>
      <c r="BI6" t="e">
        <f>AND('VEL-LECT'!AN27,"AAAAAHv6Zjw=")</f>
        <v>#VALUE!</v>
      </c>
      <c r="BJ6" t="e">
        <f>AND('VEL-LECT'!AO27,"AAAAAHv6Zj0=")</f>
        <v>#VALUE!</v>
      </c>
      <c r="BK6" t="e">
        <f>AND('VEL-LECT'!AP27,"AAAAAHv6Zj4=")</f>
        <v>#VALUE!</v>
      </c>
      <c r="BL6" t="e">
        <f>AND('VEL-LECT'!AQ27,"AAAAAHv6Zj8=")</f>
        <v>#VALUE!</v>
      </c>
      <c r="BM6" t="e">
        <f>AND('VEL-LECT'!AR27,"AAAAAHv6ZkA=")</f>
        <v>#VALUE!</v>
      </c>
      <c r="BN6" t="e">
        <f>AND('VEL-LECT'!AS27,"AAAAAHv6ZkE=")</f>
        <v>#VALUE!</v>
      </c>
      <c r="BO6" t="e">
        <f>AND('VEL-LECT'!AT27,"AAAAAHv6ZkI=")</f>
        <v>#VALUE!</v>
      </c>
      <c r="BP6" t="e">
        <f>AND('VEL-LECT'!AU27,"AAAAAHv6ZkM=")</f>
        <v>#VALUE!</v>
      </c>
      <c r="BQ6" t="e">
        <f>AND('VEL-LECT'!AV27,"AAAAAHv6ZkQ=")</f>
        <v>#VALUE!</v>
      </c>
      <c r="BR6" t="e">
        <f>AND('VEL-LECT'!AW27,"AAAAAHv6ZkU=")</f>
        <v>#VALUE!</v>
      </c>
      <c r="BS6">
        <f>IF('VEL-LECT'!28:28,"AAAAAHv6ZkY=",0)</f>
        <v>0</v>
      </c>
      <c r="BT6" t="e">
        <f>AND('VEL-LECT'!A28,"AAAAAHv6Zkc=")</f>
        <v>#VALUE!</v>
      </c>
      <c r="BU6" t="e">
        <f>AND('VEL-LECT'!B28,"AAAAAHv6Zkg=")</f>
        <v>#VALUE!</v>
      </c>
      <c r="BV6" t="e">
        <f>AND('VEL-LECT'!C28,"AAAAAHv6Zkk=")</f>
        <v>#VALUE!</v>
      </c>
      <c r="BW6" t="e">
        <f>AND('VEL-LECT'!D28,"AAAAAHv6Zko=")</f>
        <v>#VALUE!</v>
      </c>
      <c r="BX6" t="e">
        <f>AND('VEL-LECT'!E28,"AAAAAHv6Zks=")</f>
        <v>#VALUE!</v>
      </c>
      <c r="BY6" t="e">
        <f>AND('VEL-LECT'!F28,"AAAAAHv6Zkw=")</f>
        <v>#VALUE!</v>
      </c>
      <c r="BZ6" t="e">
        <f>AND('VEL-LECT'!G28,"AAAAAHv6Zk0=")</f>
        <v>#VALUE!</v>
      </c>
      <c r="CA6" t="e">
        <f>AND('VEL-LECT'!H28,"AAAAAHv6Zk4=")</f>
        <v>#VALUE!</v>
      </c>
      <c r="CB6" t="e">
        <f>AND('VEL-LECT'!I28,"AAAAAHv6Zk8=")</f>
        <v>#VALUE!</v>
      </c>
      <c r="CC6" t="e">
        <f>AND('VEL-LECT'!J28,"AAAAAHv6ZlA=")</f>
        <v>#VALUE!</v>
      </c>
      <c r="CD6" t="e">
        <f>AND('VEL-LECT'!K28,"AAAAAHv6ZlE=")</f>
        <v>#VALUE!</v>
      </c>
      <c r="CE6" t="e">
        <f>AND('VEL-LECT'!L28,"AAAAAHv6ZlI=")</f>
        <v>#VALUE!</v>
      </c>
      <c r="CF6" t="e">
        <f>AND('VEL-LECT'!M28,"AAAAAHv6ZlM=")</f>
        <v>#VALUE!</v>
      </c>
      <c r="CG6" t="e">
        <f>AND('VEL-LECT'!N28,"AAAAAHv6ZlQ=")</f>
        <v>#VALUE!</v>
      </c>
      <c r="CH6" t="e">
        <f>AND('VEL-LECT'!O28,"AAAAAHv6ZlU=")</f>
        <v>#VALUE!</v>
      </c>
      <c r="CI6" t="e">
        <f>AND('VEL-LECT'!P28,"AAAAAHv6ZlY=")</f>
        <v>#VALUE!</v>
      </c>
      <c r="CJ6" t="e">
        <f>AND('VEL-LECT'!Q28,"AAAAAHv6Zlc=")</f>
        <v>#VALUE!</v>
      </c>
      <c r="CK6" t="e">
        <f>AND('VEL-LECT'!R28,"AAAAAHv6Zlg=")</f>
        <v>#VALUE!</v>
      </c>
      <c r="CL6" t="e">
        <f>AND('VEL-LECT'!S28,"AAAAAHv6Zlk=")</f>
        <v>#VALUE!</v>
      </c>
      <c r="CM6" t="e">
        <f>AND('VEL-LECT'!T28,"AAAAAHv6Zlo=")</f>
        <v>#VALUE!</v>
      </c>
      <c r="CN6" t="e">
        <f>AND('VEL-LECT'!U28,"AAAAAHv6Zls=")</f>
        <v>#VALUE!</v>
      </c>
      <c r="CO6" t="e">
        <f>AND('VEL-LECT'!V28,"AAAAAHv6Zlw=")</f>
        <v>#VALUE!</v>
      </c>
      <c r="CP6" t="e">
        <f>AND('VEL-LECT'!W28,"AAAAAHv6Zl0=")</f>
        <v>#VALUE!</v>
      </c>
      <c r="CQ6" t="e">
        <f>AND('VEL-LECT'!X28,"AAAAAHv6Zl4=")</f>
        <v>#VALUE!</v>
      </c>
      <c r="CR6" t="e">
        <f>AND('VEL-LECT'!Y28,"AAAAAHv6Zl8=")</f>
        <v>#VALUE!</v>
      </c>
      <c r="CS6" t="e">
        <f>AND('VEL-LECT'!Z28,"AAAAAHv6ZmA=")</f>
        <v>#VALUE!</v>
      </c>
      <c r="CT6" t="e">
        <f>AND('VEL-LECT'!AA28,"AAAAAHv6ZmE=")</f>
        <v>#VALUE!</v>
      </c>
      <c r="CU6" t="e">
        <f>AND('VEL-LECT'!AB28,"AAAAAHv6ZmI=")</f>
        <v>#VALUE!</v>
      </c>
      <c r="CV6" t="e">
        <f>AND('VEL-LECT'!AC28,"AAAAAHv6ZmM=")</f>
        <v>#VALUE!</v>
      </c>
      <c r="CW6" t="e">
        <f>AND('VEL-LECT'!AD28,"AAAAAHv6ZmQ=")</f>
        <v>#VALUE!</v>
      </c>
      <c r="CX6" t="e">
        <f>AND('VEL-LECT'!AE28,"AAAAAHv6ZmU=")</f>
        <v>#VALUE!</v>
      </c>
      <c r="CY6" t="e">
        <f>AND('VEL-LECT'!AF28,"AAAAAHv6ZmY=")</f>
        <v>#VALUE!</v>
      </c>
      <c r="CZ6" t="e">
        <f>AND('VEL-LECT'!AG28,"AAAAAHv6Zmc=")</f>
        <v>#VALUE!</v>
      </c>
      <c r="DA6" t="e">
        <f>AND('VEL-LECT'!AH28,"AAAAAHv6Zmg=")</f>
        <v>#VALUE!</v>
      </c>
      <c r="DB6" t="e">
        <f>AND('VEL-LECT'!AI28,"AAAAAHv6Zmk=")</f>
        <v>#VALUE!</v>
      </c>
      <c r="DC6" t="e">
        <f>AND('VEL-LECT'!AJ28,"AAAAAHv6Zmo=")</f>
        <v>#VALUE!</v>
      </c>
      <c r="DD6" t="e">
        <f>AND('VEL-LECT'!AK28,"AAAAAHv6Zms=")</f>
        <v>#VALUE!</v>
      </c>
      <c r="DE6" t="e">
        <f>AND('VEL-LECT'!AL28,"AAAAAHv6Zmw=")</f>
        <v>#VALUE!</v>
      </c>
      <c r="DF6" t="e">
        <f>AND('VEL-LECT'!AM28,"AAAAAHv6Zm0=")</f>
        <v>#VALUE!</v>
      </c>
      <c r="DG6" t="e">
        <f>AND('VEL-LECT'!AN28,"AAAAAHv6Zm4=")</f>
        <v>#VALUE!</v>
      </c>
      <c r="DH6" t="e">
        <f>AND('VEL-LECT'!AO28,"AAAAAHv6Zm8=")</f>
        <v>#VALUE!</v>
      </c>
      <c r="DI6" t="e">
        <f>AND('VEL-LECT'!AP28,"AAAAAHv6ZnA=")</f>
        <v>#VALUE!</v>
      </c>
      <c r="DJ6" t="e">
        <f>AND('VEL-LECT'!AQ28,"AAAAAHv6ZnE=")</f>
        <v>#VALUE!</v>
      </c>
      <c r="DK6" t="e">
        <f>AND('VEL-LECT'!AR28,"AAAAAHv6ZnI=")</f>
        <v>#VALUE!</v>
      </c>
      <c r="DL6" t="e">
        <f>AND('VEL-LECT'!AS28,"AAAAAHv6ZnM=")</f>
        <v>#VALUE!</v>
      </c>
      <c r="DM6" t="e">
        <f>AND('VEL-LECT'!AT28,"AAAAAHv6ZnQ=")</f>
        <v>#VALUE!</v>
      </c>
      <c r="DN6" t="e">
        <f>AND('VEL-LECT'!AU28,"AAAAAHv6ZnU=")</f>
        <v>#VALUE!</v>
      </c>
      <c r="DO6" t="e">
        <f>AND('VEL-LECT'!AV28,"AAAAAHv6ZnY=")</f>
        <v>#VALUE!</v>
      </c>
      <c r="DP6" t="e">
        <f>AND('VEL-LECT'!AW28,"AAAAAHv6Znc=")</f>
        <v>#VALUE!</v>
      </c>
      <c r="DQ6">
        <f>IF('VEL-LECT'!29:29,"AAAAAHv6Zng=",0)</f>
        <v>0</v>
      </c>
      <c r="DR6" t="e">
        <f>AND('VEL-LECT'!A29,"AAAAAHv6Znk=")</f>
        <v>#VALUE!</v>
      </c>
      <c r="DS6" t="e">
        <f>AND('VEL-LECT'!B29,"AAAAAHv6Zno=")</f>
        <v>#VALUE!</v>
      </c>
      <c r="DT6" t="e">
        <f>AND('VEL-LECT'!C29,"AAAAAHv6Zns=")</f>
        <v>#VALUE!</v>
      </c>
      <c r="DU6" t="e">
        <f>AND('VEL-LECT'!D29,"AAAAAHv6Znw=")</f>
        <v>#VALUE!</v>
      </c>
      <c r="DV6" t="e">
        <f>AND('VEL-LECT'!E29,"AAAAAHv6Zn0=")</f>
        <v>#VALUE!</v>
      </c>
      <c r="DW6" t="e">
        <f>AND('VEL-LECT'!F29,"AAAAAHv6Zn4=")</f>
        <v>#VALUE!</v>
      </c>
      <c r="DX6" t="e">
        <f>AND('VEL-LECT'!G29,"AAAAAHv6Zn8=")</f>
        <v>#VALUE!</v>
      </c>
      <c r="DY6" t="e">
        <f>AND('VEL-LECT'!H29,"AAAAAHv6ZoA=")</f>
        <v>#VALUE!</v>
      </c>
      <c r="DZ6" t="e">
        <f>AND('VEL-LECT'!I29,"AAAAAHv6ZoE=")</f>
        <v>#VALUE!</v>
      </c>
      <c r="EA6" t="e">
        <f>AND('VEL-LECT'!J29,"AAAAAHv6ZoI=")</f>
        <v>#VALUE!</v>
      </c>
      <c r="EB6" t="e">
        <f>AND('VEL-LECT'!K29,"AAAAAHv6ZoM=")</f>
        <v>#VALUE!</v>
      </c>
      <c r="EC6" t="e">
        <f>AND('VEL-LECT'!L29,"AAAAAHv6ZoQ=")</f>
        <v>#VALUE!</v>
      </c>
      <c r="ED6" t="e">
        <f>AND('VEL-LECT'!M29,"AAAAAHv6ZoU=")</f>
        <v>#VALUE!</v>
      </c>
      <c r="EE6" t="e">
        <f>AND('VEL-LECT'!N29,"AAAAAHv6ZoY=")</f>
        <v>#VALUE!</v>
      </c>
      <c r="EF6" t="e">
        <f>AND('VEL-LECT'!O29,"AAAAAHv6Zoc=")</f>
        <v>#VALUE!</v>
      </c>
      <c r="EG6" t="e">
        <f>AND('VEL-LECT'!P29,"AAAAAHv6Zog=")</f>
        <v>#VALUE!</v>
      </c>
      <c r="EH6" t="e">
        <f>AND('VEL-LECT'!Q29,"AAAAAHv6Zok=")</f>
        <v>#VALUE!</v>
      </c>
      <c r="EI6" t="e">
        <f>AND('VEL-LECT'!R29,"AAAAAHv6Zoo=")</f>
        <v>#VALUE!</v>
      </c>
      <c r="EJ6" t="e">
        <f>AND('VEL-LECT'!S29,"AAAAAHv6Zos=")</f>
        <v>#VALUE!</v>
      </c>
      <c r="EK6" t="e">
        <f>AND('VEL-LECT'!T29,"AAAAAHv6Zow=")</f>
        <v>#VALUE!</v>
      </c>
      <c r="EL6" t="e">
        <f>AND('VEL-LECT'!U29,"AAAAAHv6Zo0=")</f>
        <v>#VALUE!</v>
      </c>
      <c r="EM6" t="e">
        <f>AND('VEL-LECT'!V29,"AAAAAHv6Zo4=")</f>
        <v>#VALUE!</v>
      </c>
      <c r="EN6" t="e">
        <f>AND('VEL-LECT'!W29,"AAAAAHv6Zo8=")</f>
        <v>#VALUE!</v>
      </c>
      <c r="EO6" t="e">
        <f>AND('VEL-LECT'!X29,"AAAAAHv6ZpA=")</f>
        <v>#VALUE!</v>
      </c>
      <c r="EP6" t="e">
        <f>AND('VEL-LECT'!Y29,"AAAAAHv6ZpE=")</f>
        <v>#VALUE!</v>
      </c>
      <c r="EQ6" t="e">
        <f>AND('VEL-LECT'!Z29,"AAAAAHv6ZpI=")</f>
        <v>#VALUE!</v>
      </c>
      <c r="ER6" t="e">
        <f>AND('VEL-LECT'!AA29,"AAAAAHv6ZpM=")</f>
        <v>#VALUE!</v>
      </c>
      <c r="ES6" t="e">
        <f>AND('VEL-LECT'!AB29,"AAAAAHv6ZpQ=")</f>
        <v>#VALUE!</v>
      </c>
      <c r="ET6" t="e">
        <f>AND('VEL-LECT'!AC29,"AAAAAHv6ZpU=")</f>
        <v>#VALUE!</v>
      </c>
      <c r="EU6" t="e">
        <f>AND('VEL-LECT'!AD29,"AAAAAHv6ZpY=")</f>
        <v>#VALUE!</v>
      </c>
      <c r="EV6" t="e">
        <f>AND('VEL-LECT'!AE29,"AAAAAHv6Zpc=")</f>
        <v>#VALUE!</v>
      </c>
      <c r="EW6" t="e">
        <f>AND('VEL-LECT'!AF29,"AAAAAHv6Zpg=")</f>
        <v>#VALUE!</v>
      </c>
      <c r="EX6" t="e">
        <f>AND('VEL-LECT'!AG29,"AAAAAHv6Zpk=")</f>
        <v>#VALUE!</v>
      </c>
      <c r="EY6" t="e">
        <f>AND('VEL-LECT'!AH29,"AAAAAHv6Zpo=")</f>
        <v>#VALUE!</v>
      </c>
      <c r="EZ6" t="e">
        <f>AND('VEL-LECT'!AI29,"AAAAAHv6Zps=")</f>
        <v>#VALUE!</v>
      </c>
      <c r="FA6" t="e">
        <f>AND('VEL-LECT'!AJ29,"AAAAAHv6Zpw=")</f>
        <v>#VALUE!</v>
      </c>
      <c r="FB6" t="e">
        <f>AND('VEL-LECT'!AK29,"AAAAAHv6Zp0=")</f>
        <v>#VALUE!</v>
      </c>
      <c r="FC6" t="e">
        <f>AND('VEL-LECT'!AL29,"AAAAAHv6Zp4=")</f>
        <v>#VALUE!</v>
      </c>
      <c r="FD6" t="e">
        <f>AND('VEL-LECT'!AM29,"AAAAAHv6Zp8=")</f>
        <v>#VALUE!</v>
      </c>
      <c r="FE6" t="e">
        <f>AND('VEL-LECT'!AN29,"AAAAAHv6ZqA=")</f>
        <v>#VALUE!</v>
      </c>
      <c r="FF6" t="e">
        <f>AND('VEL-LECT'!AO29,"AAAAAHv6ZqE=")</f>
        <v>#VALUE!</v>
      </c>
      <c r="FG6" t="e">
        <f>AND('VEL-LECT'!AP29,"AAAAAHv6ZqI=")</f>
        <v>#VALUE!</v>
      </c>
      <c r="FH6" t="e">
        <f>AND('VEL-LECT'!AQ29,"AAAAAHv6ZqM=")</f>
        <v>#VALUE!</v>
      </c>
      <c r="FI6" t="e">
        <f>AND('VEL-LECT'!AR29,"AAAAAHv6ZqQ=")</f>
        <v>#VALUE!</v>
      </c>
      <c r="FJ6" t="e">
        <f>AND('VEL-LECT'!AS29,"AAAAAHv6ZqU=")</f>
        <v>#VALUE!</v>
      </c>
      <c r="FK6" t="e">
        <f>AND('VEL-LECT'!AT29,"AAAAAHv6ZqY=")</f>
        <v>#VALUE!</v>
      </c>
      <c r="FL6" t="e">
        <f>AND('VEL-LECT'!AU29,"AAAAAHv6Zqc=")</f>
        <v>#VALUE!</v>
      </c>
      <c r="FM6" t="e">
        <f>AND('VEL-LECT'!AV29,"AAAAAHv6Zqg=")</f>
        <v>#VALUE!</v>
      </c>
      <c r="FN6" t="e">
        <f>AND('VEL-LECT'!AW29,"AAAAAHv6Zqk=")</f>
        <v>#VALUE!</v>
      </c>
      <c r="FO6">
        <f>IF('VEL-LECT'!30:30,"AAAAAHv6Zqo=",0)</f>
        <v>0</v>
      </c>
      <c r="FP6" t="e">
        <f>AND('VEL-LECT'!A30,"AAAAAHv6Zqs=")</f>
        <v>#VALUE!</v>
      </c>
      <c r="FQ6" t="e">
        <f>AND('VEL-LECT'!B30,"AAAAAHv6Zqw=")</f>
        <v>#VALUE!</v>
      </c>
      <c r="FR6" t="e">
        <f>AND('VEL-LECT'!C30,"AAAAAHv6Zq0=")</f>
        <v>#VALUE!</v>
      </c>
      <c r="FS6" t="e">
        <f>AND('VEL-LECT'!D30,"AAAAAHv6Zq4=")</f>
        <v>#VALUE!</v>
      </c>
      <c r="FT6" t="e">
        <f>AND('VEL-LECT'!E30,"AAAAAHv6Zq8=")</f>
        <v>#VALUE!</v>
      </c>
      <c r="FU6" t="e">
        <f>AND('VEL-LECT'!F30,"AAAAAHv6ZrA=")</f>
        <v>#VALUE!</v>
      </c>
      <c r="FV6" t="e">
        <f>AND('VEL-LECT'!G30,"AAAAAHv6ZrE=")</f>
        <v>#VALUE!</v>
      </c>
      <c r="FW6" t="e">
        <f>AND('VEL-LECT'!H30,"AAAAAHv6ZrI=")</f>
        <v>#VALUE!</v>
      </c>
      <c r="FX6" t="e">
        <f>AND('VEL-LECT'!I30,"AAAAAHv6ZrM=")</f>
        <v>#VALUE!</v>
      </c>
      <c r="FY6" t="e">
        <f>AND('VEL-LECT'!J30,"AAAAAHv6ZrQ=")</f>
        <v>#VALUE!</v>
      </c>
      <c r="FZ6" t="e">
        <f>AND('VEL-LECT'!K30,"AAAAAHv6ZrU=")</f>
        <v>#VALUE!</v>
      </c>
      <c r="GA6" t="e">
        <f>AND('VEL-LECT'!L30,"AAAAAHv6ZrY=")</f>
        <v>#VALUE!</v>
      </c>
      <c r="GB6" t="e">
        <f>AND('VEL-LECT'!M30,"AAAAAHv6Zrc=")</f>
        <v>#VALUE!</v>
      </c>
      <c r="GC6" t="e">
        <f>AND('VEL-LECT'!N30,"AAAAAHv6Zrg=")</f>
        <v>#VALUE!</v>
      </c>
      <c r="GD6" t="e">
        <f>AND('VEL-LECT'!O30,"AAAAAHv6Zrk=")</f>
        <v>#VALUE!</v>
      </c>
      <c r="GE6" t="e">
        <f>AND('VEL-LECT'!P30,"AAAAAHv6Zro=")</f>
        <v>#VALUE!</v>
      </c>
      <c r="GF6" t="e">
        <f>AND('VEL-LECT'!Q30,"AAAAAHv6Zrs=")</f>
        <v>#VALUE!</v>
      </c>
      <c r="GG6" t="e">
        <f>AND('VEL-LECT'!R30,"AAAAAHv6Zrw=")</f>
        <v>#VALUE!</v>
      </c>
      <c r="GH6" t="e">
        <f>AND('VEL-LECT'!S30,"AAAAAHv6Zr0=")</f>
        <v>#VALUE!</v>
      </c>
      <c r="GI6" t="e">
        <f>AND('VEL-LECT'!T30,"AAAAAHv6Zr4=")</f>
        <v>#VALUE!</v>
      </c>
      <c r="GJ6" t="e">
        <f>AND('VEL-LECT'!U30,"AAAAAHv6Zr8=")</f>
        <v>#VALUE!</v>
      </c>
      <c r="GK6" t="e">
        <f>AND('VEL-LECT'!V30,"AAAAAHv6ZsA=")</f>
        <v>#VALUE!</v>
      </c>
      <c r="GL6" t="e">
        <f>AND('VEL-LECT'!W30,"AAAAAHv6ZsE=")</f>
        <v>#VALUE!</v>
      </c>
      <c r="GM6" t="e">
        <f>AND('VEL-LECT'!X30,"AAAAAHv6ZsI=")</f>
        <v>#VALUE!</v>
      </c>
      <c r="GN6" t="e">
        <f>AND('VEL-LECT'!Y30,"AAAAAHv6ZsM=")</f>
        <v>#VALUE!</v>
      </c>
      <c r="GO6" t="e">
        <f>AND('VEL-LECT'!Z30,"AAAAAHv6ZsQ=")</f>
        <v>#VALUE!</v>
      </c>
      <c r="GP6" t="e">
        <f>AND('VEL-LECT'!AA30,"AAAAAHv6ZsU=")</f>
        <v>#VALUE!</v>
      </c>
      <c r="GQ6" t="e">
        <f>AND('VEL-LECT'!AB30,"AAAAAHv6ZsY=")</f>
        <v>#VALUE!</v>
      </c>
      <c r="GR6" t="e">
        <f>AND('VEL-LECT'!AC30,"AAAAAHv6Zsc=")</f>
        <v>#VALUE!</v>
      </c>
      <c r="GS6" t="e">
        <f>AND('VEL-LECT'!AD30,"AAAAAHv6Zsg=")</f>
        <v>#VALUE!</v>
      </c>
      <c r="GT6" t="e">
        <f>AND('VEL-LECT'!AE30,"AAAAAHv6Zsk=")</f>
        <v>#VALUE!</v>
      </c>
      <c r="GU6" t="e">
        <f>AND('VEL-LECT'!AF30,"AAAAAHv6Zso=")</f>
        <v>#VALUE!</v>
      </c>
      <c r="GV6" t="e">
        <f>AND('VEL-LECT'!AG30,"AAAAAHv6Zss=")</f>
        <v>#VALUE!</v>
      </c>
      <c r="GW6" t="e">
        <f>AND('VEL-LECT'!AH30,"AAAAAHv6Zsw=")</f>
        <v>#VALUE!</v>
      </c>
      <c r="GX6" t="e">
        <f>AND('VEL-LECT'!AI30,"AAAAAHv6Zs0=")</f>
        <v>#VALUE!</v>
      </c>
      <c r="GY6" t="e">
        <f>AND('VEL-LECT'!AJ30,"AAAAAHv6Zs4=")</f>
        <v>#VALUE!</v>
      </c>
      <c r="GZ6" t="e">
        <f>AND('VEL-LECT'!AK30,"AAAAAHv6Zs8=")</f>
        <v>#VALUE!</v>
      </c>
      <c r="HA6" t="e">
        <f>AND('VEL-LECT'!AL30,"AAAAAHv6ZtA=")</f>
        <v>#VALUE!</v>
      </c>
      <c r="HB6" t="e">
        <f>AND('VEL-LECT'!AM30,"AAAAAHv6ZtE=")</f>
        <v>#VALUE!</v>
      </c>
      <c r="HC6" t="e">
        <f>AND('VEL-LECT'!AN30,"AAAAAHv6ZtI=")</f>
        <v>#VALUE!</v>
      </c>
      <c r="HD6" t="e">
        <f>AND('VEL-LECT'!AO30,"AAAAAHv6ZtM=")</f>
        <v>#VALUE!</v>
      </c>
      <c r="HE6" t="e">
        <f>AND('VEL-LECT'!AP30,"AAAAAHv6ZtQ=")</f>
        <v>#VALUE!</v>
      </c>
      <c r="HF6" t="e">
        <f>AND('VEL-LECT'!AQ30,"AAAAAHv6ZtU=")</f>
        <v>#VALUE!</v>
      </c>
      <c r="HG6" t="e">
        <f>AND('VEL-LECT'!AR30,"AAAAAHv6ZtY=")</f>
        <v>#VALUE!</v>
      </c>
      <c r="HH6" t="e">
        <f>AND('VEL-LECT'!AS30,"AAAAAHv6Ztc=")</f>
        <v>#VALUE!</v>
      </c>
      <c r="HI6" t="e">
        <f>AND('VEL-LECT'!AT30,"AAAAAHv6Ztg=")</f>
        <v>#VALUE!</v>
      </c>
      <c r="HJ6" t="e">
        <f>AND('VEL-LECT'!AU30,"AAAAAHv6Ztk=")</f>
        <v>#VALUE!</v>
      </c>
      <c r="HK6" t="e">
        <f>AND('VEL-LECT'!AV30,"AAAAAHv6Zto=")</f>
        <v>#VALUE!</v>
      </c>
      <c r="HL6" t="e">
        <f>AND('VEL-LECT'!AW30,"AAAAAHv6Zts=")</f>
        <v>#VALUE!</v>
      </c>
      <c r="HM6">
        <f>IF('VEL-LECT'!31:31,"AAAAAHv6Ztw=",0)</f>
        <v>0</v>
      </c>
      <c r="HN6" t="e">
        <f>AND('VEL-LECT'!A31,"AAAAAHv6Zt0=")</f>
        <v>#VALUE!</v>
      </c>
      <c r="HO6" t="e">
        <f>AND('VEL-LECT'!B31,"AAAAAHv6Zt4=")</f>
        <v>#VALUE!</v>
      </c>
      <c r="HP6" t="e">
        <f>AND('VEL-LECT'!C31,"AAAAAHv6Zt8=")</f>
        <v>#VALUE!</v>
      </c>
      <c r="HQ6" t="e">
        <f>AND('VEL-LECT'!D31,"AAAAAHv6ZuA=")</f>
        <v>#VALUE!</v>
      </c>
      <c r="HR6" t="e">
        <f>AND('VEL-LECT'!E31,"AAAAAHv6ZuE=")</f>
        <v>#VALUE!</v>
      </c>
      <c r="HS6" t="e">
        <f>AND('VEL-LECT'!F31,"AAAAAHv6ZuI=")</f>
        <v>#VALUE!</v>
      </c>
      <c r="HT6" t="e">
        <f>AND('VEL-LECT'!G31,"AAAAAHv6ZuM=")</f>
        <v>#VALUE!</v>
      </c>
      <c r="HU6" t="e">
        <f>AND('VEL-LECT'!H31,"AAAAAHv6ZuQ=")</f>
        <v>#VALUE!</v>
      </c>
      <c r="HV6" t="e">
        <f>AND('VEL-LECT'!I31,"AAAAAHv6ZuU=")</f>
        <v>#VALUE!</v>
      </c>
      <c r="HW6" t="e">
        <f>AND('VEL-LECT'!J31,"AAAAAHv6ZuY=")</f>
        <v>#VALUE!</v>
      </c>
      <c r="HX6" t="e">
        <f>AND('VEL-LECT'!K31,"AAAAAHv6Zuc=")</f>
        <v>#VALUE!</v>
      </c>
      <c r="HY6" t="e">
        <f>AND('VEL-LECT'!L31,"AAAAAHv6Zug=")</f>
        <v>#VALUE!</v>
      </c>
      <c r="HZ6" t="e">
        <f>AND('VEL-LECT'!M31,"AAAAAHv6Zuk=")</f>
        <v>#VALUE!</v>
      </c>
      <c r="IA6" t="e">
        <f>AND('VEL-LECT'!N31,"AAAAAHv6Zuo=")</f>
        <v>#VALUE!</v>
      </c>
      <c r="IB6" t="e">
        <f>AND('VEL-LECT'!O31,"AAAAAHv6Zus=")</f>
        <v>#VALUE!</v>
      </c>
      <c r="IC6" t="e">
        <f>AND('VEL-LECT'!P31,"AAAAAHv6Zuw=")</f>
        <v>#VALUE!</v>
      </c>
      <c r="ID6" t="e">
        <f>AND('VEL-LECT'!Q31,"AAAAAHv6Zu0=")</f>
        <v>#VALUE!</v>
      </c>
      <c r="IE6" t="e">
        <f>AND('VEL-LECT'!R31,"AAAAAHv6Zu4=")</f>
        <v>#VALUE!</v>
      </c>
      <c r="IF6" t="e">
        <f>AND('VEL-LECT'!S31,"AAAAAHv6Zu8=")</f>
        <v>#VALUE!</v>
      </c>
      <c r="IG6" t="e">
        <f>AND('VEL-LECT'!T31,"AAAAAHv6ZvA=")</f>
        <v>#VALUE!</v>
      </c>
      <c r="IH6" t="e">
        <f>AND('VEL-LECT'!U31,"AAAAAHv6ZvE=")</f>
        <v>#VALUE!</v>
      </c>
      <c r="II6" t="e">
        <f>AND('VEL-LECT'!V31,"AAAAAHv6ZvI=")</f>
        <v>#VALUE!</v>
      </c>
      <c r="IJ6" t="e">
        <f>AND('VEL-LECT'!W31,"AAAAAHv6ZvM=")</f>
        <v>#VALUE!</v>
      </c>
      <c r="IK6" t="e">
        <f>AND('VEL-LECT'!X31,"AAAAAHv6ZvQ=")</f>
        <v>#VALUE!</v>
      </c>
      <c r="IL6" t="e">
        <f>AND('VEL-LECT'!Y31,"AAAAAHv6ZvU=")</f>
        <v>#VALUE!</v>
      </c>
      <c r="IM6" t="e">
        <f>AND('VEL-LECT'!Z31,"AAAAAHv6ZvY=")</f>
        <v>#VALUE!</v>
      </c>
      <c r="IN6" t="e">
        <f>AND('VEL-LECT'!AA31,"AAAAAHv6Zvc=")</f>
        <v>#VALUE!</v>
      </c>
      <c r="IO6" t="e">
        <f>AND('VEL-LECT'!AB31,"AAAAAHv6Zvg=")</f>
        <v>#VALUE!</v>
      </c>
      <c r="IP6" t="e">
        <f>AND('VEL-LECT'!AC31,"AAAAAHv6Zvk=")</f>
        <v>#VALUE!</v>
      </c>
      <c r="IQ6" t="e">
        <f>AND('VEL-LECT'!AD31,"AAAAAHv6Zvo=")</f>
        <v>#VALUE!</v>
      </c>
      <c r="IR6" t="e">
        <f>AND('VEL-LECT'!AE31,"AAAAAHv6Zvs=")</f>
        <v>#VALUE!</v>
      </c>
      <c r="IS6" t="e">
        <f>AND('VEL-LECT'!AF31,"AAAAAHv6Zvw=")</f>
        <v>#VALUE!</v>
      </c>
      <c r="IT6" t="e">
        <f>AND('VEL-LECT'!AG31,"AAAAAHv6Zv0=")</f>
        <v>#VALUE!</v>
      </c>
      <c r="IU6" t="e">
        <f>AND('VEL-LECT'!AH31,"AAAAAHv6Zv4=")</f>
        <v>#VALUE!</v>
      </c>
      <c r="IV6" t="e">
        <f>AND('VEL-LECT'!AI31,"AAAAAHv6Zv8=")</f>
        <v>#VALUE!</v>
      </c>
    </row>
    <row r="7" spans="1:256" ht="15">
      <c r="A7" t="e">
        <f>AND('VEL-LECT'!AJ31,"AAAAAFVdTwA=")</f>
        <v>#VALUE!</v>
      </c>
      <c r="B7" t="e">
        <f>AND('VEL-LECT'!AK31,"AAAAAFVdTwE=")</f>
        <v>#VALUE!</v>
      </c>
      <c r="C7" t="e">
        <f>AND('VEL-LECT'!AL31,"AAAAAFVdTwI=")</f>
        <v>#VALUE!</v>
      </c>
      <c r="D7" t="e">
        <f>AND('VEL-LECT'!AM31,"AAAAAFVdTwM=")</f>
        <v>#VALUE!</v>
      </c>
      <c r="E7" t="e">
        <f>AND('VEL-LECT'!AN31,"AAAAAFVdTwQ=")</f>
        <v>#VALUE!</v>
      </c>
      <c r="F7" t="e">
        <f>AND('VEL-LECT'!AO31,"AAAAAFVdTwU=")</f>
        <v>#VALUE!</v>
      </c>
      <c r="G7" t="e">
        <f>AND('VEL-LECT'!AP31,"AAAAAFVdTwY=")</f>
        <v>#VALUE!</v>
      </c>
      <c r="H7" t="e">
        <f>AND('VEL-LECT'!AQ31,"AAAAAFVdTwc=")</f>
        <v>#VALUE!</v>
      </c>
      <c r="I7" t="e">
        <f>AND('VEL-LECT'!AR31,"AAAAAFVdTwg=")</f>
        <v>#VALUE!</v>
      </c>
      <c r="J7" t="e">
        <f>AND('VEL-LECT'!AS31,"AAAAAFVdTwk=")</f>
        <v>#VALUE!</v>
      </c>
      <c r="K7" t="e">
        <f>AND('VEL-LECT'!AT31,"AAAAAFVdTwo=")</f>
        <v>#VALUE!</v>
      </c>
      <c r="L7" t="e">
        <f>AND('VEL-LECT'!AU31,"AAAAAFVdTws=")</f>
        <v>#VALUE!</v>
      </c>
      <c r="M7" t="e">
        <f>AND('VEL-LECT'!AV31,"AAAAAFVdTww=")</f>
        <v>#VALUE!</v>
      </c>
      <c r="N7" t="e">
        <f>AND('VEL-LECT'!AW31,"AAAAAFVdTw0=")</f>
        <v>#VALUE!</v>
      </c>
      <c r="O7">
        <f>IF('VEL-LECT'!32:32,"AAAAAFVdTw4=",0)</f>
        <v>0</v>
      </c>
      <c r="P7" t="e">
        <f>AND('VEL-LECT'!A32,"AAAAAFVdTw8=")</f>
        <v>#VALUE!</v>
      </c>
      <c r="Q7" t="e">
        <f>AND('VEL-LECT'!B32,"AAAAAFVdTxA=")</f>
        <v>#VALUE!</v>
      </c>
      <c r="R7" t="e">
        <f>AND('VEL-LECT'!C32,"AAAAAFVdTxE=")</f>
        <v>#VALUE!</v>
      </c>
      <c r="S7" t="e">
        <f>AND('VEL-LECT'!D32,"AAAAAFVdTxI=")</f>
        <v>#VALUE!</v>
      </c>
      <c r="T7" t="e">
        <f>AND('VEL-LECT'!E32,"AAAAAFVdTxM=")</f>
        <v>#VALUE!</v>
      </c>
      <c r="U7" t="e">
        <f>AND('VEL-LECT'!F32,"AAAAAFVdTxQ=")</f>
        <v>#VALUE!</v>
      </c>
      <c r="V7" t="e">
        <f>AND('VEL-LECT'!G32,"AAAAAFVdTxU=")</f>
        <v>#VALUE!</v>
      </c>
      <c r="W7" t="e">
        <f>AND('VEL-LECT'!H32,"AAAAAFVdTxY=")</f>
        <v>#VALUE!</v>
      </c>
      <c r="X7" t="e">
        <f>AND('VEL-LECT'!I32,"AAAAAFVdTxc=")</f>
        <v>#VALUE!</v>
      </c>
      <c r="Y7" t="e">
        <f>AND('VEL-LECT'!J32,"AAAAAFVdTxg=")</f>
        <v>#VALUE!</v>
      </c>
      <c r="Z7" t="e">
        <f>AND('VEL-LECT'!K32,"AAAAAFVdTxk=")</f>
        <v>#VALUE!</v>
      </c>
      <c r="AA7" t="e">
        <f>AND('VEL-LECT'!L32,"AAAAAFVdTxo=")</f>
        <v>#VALUE!</v>
      </c>
      <c r="AB7" t="e">
        <f>AND('VEL-LECT'!M32,"AAAAAFVdTxs=")</f>
        <v>#VALUE!</v>
      </c>
      <c r="AC7" t="e">
        <f>AND('VEL-LECT'!N32,"AAAAAFVdTxw=")</f>
        <v>#VALUE!</v>
      </c>
      <c r="AD7" t="e">
        <f>AND('VEL-LECT'!O32,"AAAAAFVdTx0=")</f>
        <v>#VALUE!</v>
      </c>
      <c r="AE7" t="e">
        <f>AND('VEL-LECT'!P32,"AAAAAFVdTx4=")</f>
        <v>#VALUE!</v>
      </c>
      <c r="AF7" t="e">
        <f>AND('VEL-LECT'!Q32,"AAAAAFVdTx8=")</f>
        <v>#VALUE!</v>
      </c>
      <c r="AG7" t="e">
        <f>AND('VEL-LECT'!R32,"AAAAAFVdTyA=")</f>
        <v>#VALUE!</v>
      </c>
      <c r="AH7" t="e">
        <f>AND('VEL-LECT'!S32,"AAAAAFVdTyE=")</f>
        <v>#VALUE!</v>
      </c>
      <c r="AI7" t="e">
        <f>AND('VEL-LECT'!T32,"AAAAAFVdTyI=")</f>
        <v>#VALUE!</v>
      </c>
      <c r="AJ7" t="e">
        <f>AND('VEL-LECT'!U32,"AAAAAFVdTyM=")</f>
        <v>#VALUE!</v>
      </c>
      <c r="AK7" t="e">
        <f>AND('VEL-LECT'!V32,"AAAAAFVdTyQ=")</f>
        <v>#VALUE!</v>
      </c>
      <c r="AL7" t="e">
        <f>AND('VEL-LECT'!W32,"AAAAAFVdTyU=")</f>
        <v>#VALUE!</v>
      </c>
      <c r="AM7" t="e">
        <f>AND('VEL-LECT'!X32,"AAAAAFVdTyY=")</f>
        <v>#VALUE!</v>
      </c>
      <c r="AN7" t="e">
        <f>AND('VEL-LECT'!Y32,"AAAAAFVdTyc=")</f>
        <v>#VALUE!</v>
      </c>
      <c r="AO7" t="e">
        <f>AND('VEL-LECT'!Z32,"AAAAAFVdTyg=")</f>
        <v>#VALUE!</v>
      </c>
      <c r="AP7" t="e">
        <f>AND('VEL-LECT'!AA32,"AAAAAFVdTyk=")</f>
        <v>#VALUE!</v>
      </c>
      <c r="AQ7" t="e">
        <f>AND('VEL-LECT'!AB32,"AAAAAFVdTyo=")</f>
        <v>#VALUE!</v>
      </c>
      <c r="AR7" t="e">
        <f>AND('VEL-LECT'!AC32,"AAAAAFVdTys=")</f>
        <v>#VALUE!</v>
      </c>
      <c r="AS7" t="e">
        <f>AND('VEL-LECT'!AD32,"AAAAAFVdTyw=")</f>
        <v>#VALUE!</v>
      </c>
      <c r="AT7" t="e">
        <f>AND('VEL-LECT'!AE32,"AAAAAFVdTy0=")</f>
        <v>#VALUE!</v>
      </c>
      <c r="AU7" t="e">
        <f>AND('VEL-LECT'!AF32,"AAAAAFVdTy4=")</f>
        <v>#VALUE!</v>
      </c>
      <c r="AV7" t="e">
        <f>AND('VEL-LECT'!AG32,"AAAAAFVdTy8=")</f>
        <v>#VALUE!</v>
      </c>
      <c r="AW7" t="e">
        <f>AND('VEL-LECT'!AH32,"AAAAAFVdTzA=")</f>
        <v>#VALUE!</v>
      </c>
      <c r="AX7" t="e">
        <f>AND('VEL-LECT'!AI32,"AAAAAFVdTzE=")</f>
        <v>#VALUE!</v>
      </c>
      <c r="AY7" t="e">
        <f>AND('VEL-LECT'!AJ32,"AAAAAFVdTzI=")</f>
        <v>#VALUE!</v>
      </c>
      <c r="AZ7" t="e">
        <f>AND('VEL-LECT'!AK32,"AAAAAFVdTzM=")</f>
        <v>#VALUE!</v>
      </c>
      <c r="BA7" t="e">
        <f>AND('VEL-LECT'!AL32,"AAAAAFVdTzQ=")</f>
        <v>#VALUE!</v>
      </c>
      <c r="BB7" t="e">
        <f>AND('VEL-LECT'!AM32,"AAAAAFVdTzU=")</f>
        <v>#VALUE!</v>
      </c>
      <c r="BC7" t="e">
        <f>AND('VEL-LECT'!AN32,"AAAAAFVdTzY=")</f>
        <v>#VALUE!</v>
      </c>
      <c r="BD7" t="e">
        <f>AND('VEL-LECT'!AO32,"AAAAAFVdTzc=")</f>
        <v>#VALUE!</v>
      </c>
      <c r="BE7" t="e">
        <f>AND('VEL-LECT'!AP32,"AAAAAFVdTzg=")</f>
        <v>#VALUE!</v>
      </c>
      <c r="BF7" t="e">
        <f>AND('VEL-LECT'!AQ32,"AAAAAFVdTzk=")</f>
        <v>#VALUE!</v>
      </c>
      <c r="BG7" t="e">
        <f>AND('VEL-LECT'!AR32,"AAAAAFVdTzo=")</f>
        <v>#VALUE!</v>
      </c>
      <c r="BH7" t="e">
        <f>AND('VEL-LECT'!AS32,"AAAAAFVdTzs=")</f>
        <v>#VALUE!</v>
      </c>
      <c r="BI7" t="e">
        <f>AND('VEL-LECT'!AT32,"AAAAAFVdTzw=")</f>
        <v>#VALUE!</v>
      </c>
      <c r="BJ7" t="e">
        <f>AND('VEL-LECT'!AU32,"AAAAAFVdTz0=")</f>
        <v>#VALUE!</v>
      </c>
      <c r="BK7" t="e">
        <f>AND('VEL-LECT'!AV32,"AAAAAFVdTz4=")</f>
        <v>#VALUE!</v>
      </c>
      <c r="BL7" t="e">
        <f>AND('VEL-LECT'!AW32,"AAAAAFVdTz8=")</f>
        <v>#VALUE!</v>
      </c>
      <c r="BM7">
        <f>IF('VEL-LECT'!33:33,"AAAAAFVdT0A=",0)</f>
        <v>0</v>
      </c>
      <c r="BN7" t="e">
        <f>AND('VEL-LECT'!A33,"AAAAAFVdT0E=")</f>
        <v>#VALUE!</v>
      </c>
      <c r="BO7" t="e">
        <f>AND('VEL-LECT'!B33,"AAAAAFVdT0I=")</f>
        <v>#VALUE!</v>
      </c>
      <c r="BP7" t="e">
        <f>AND('VEL-LECT'!C33,"AAAAAFVdT0M=")</f>
        <v>#VALUE!</v>
      </c>
      <c r="BQ7" t="e">
        <f>AND('VEL-LECT'!D33,"AAAAAFVdT0Q=")</f>
        <v>#VALUE!</v>
      </c>
      <c r="BR7" t="e">
        <f>AND('VEL-LECT'!E33,"AAAAAFVdT0U=")</f>
        <v>#VALUE!</v>
      </c>
      <c r="BS7" t="e">
        <f>AND('VEL-LECT'!F33,"AAAAAFVdT0Y=")</f>
        <v>#VALUE!</v>
      </c>
      <c r="BT7" t="e">
        <f>AND('VEL-LECT'!G33,"AAAAAFVdT0c=")</f>
        <v>#VALUE!</v>
      </c>
      <c r="BU7" t="e">
        <f>AND('VEL-LECT'!H33,"AAAAAFVdT0g=")</f>
        <v>#VALUE!</v>
      </c>
      <c r="BV7" t="e">
        <f>AND('VEL-LECT'!I33,"AAAAAFVdT0k=")</f>
        <v>#VALUE!</v>
      </c>
      <c r="BW7" t="e">
        <f>AND('VEL-LECT'!J33,"AAAAAFVdT0o=")</f>
        <v>#VALUE!</v>
      </c>
      <c r="BX7" t="e">
        <f>AND('VEL-LECT'!K33,"AAAAAFVdT0s=")</f>
        <v>#VALUE!</v>
      </c>
      <c r="BY7" t="e">
        <f>AND('VEL-LECT'!L33,"AAAAAFVdT0w=")</f>
        <v>#VALUE!</v>
      </c>
      <c r="BZ7" t="e">
        <f>AND('VEL-LECT'!M33,"AAAAAFVdT00=")</f>
        <v>#VALUE!</v>
      </c>
      <c r="CA7" t="e">
        <f>AND('VEL-LECT'!N33,"AAAAAFVdT04=")</f>
        <v>#VALUE!</v>
      </c>
      <c r="CB7" t="e">
        <f>AND('VEL-LECT'!O33,"AAAAAFVdT08=")</f>
        <v>#VALUE!</v>
      </c>
      <c r="CC7" t="e">
        <f>AND('VEL-LECT'!P33,"AAAAAFVdT1A=")</f>
        <v>#VALUE!</v>
      </c>
      <c r="CD7" t="e">
        <f>AND('VEL-LECT'!Q33,"AAAAAFVdT1E=")</f>
        <v>#VALUE!</v>
      </c>
      <c r="CE7" t="e">
        <f>AND('VEL-LECT'!R33,"AAAAAFVdT1I=")</f>
        <v>#VALUE!</v>
      </c>
      <c r="CF7" t="e">
        <f>AND('VEL-LECT'!S33,"AAAAAFVdT1M=")</f>
        <v>#VALUE!</v>
      </c>
      <c r="CG7" t="e">
        <f>AND('VEL-LECT'!T33,"AAAAAFVdT1Q=")</f>
        <v>#VALUE!</v>
      </c>
      <c r="CH7" t="e">
        <f>AND('VEL-LECT'!U33,"AAAAAFVdT1U=")</f>
        <v>#VALUE!</v>
      </c>
      <c r="CI7" t="e">
        <f>AND('VEL-LECT'!V33,"AAAAAFVdT1Y=")</f>
        <v>#VALUE!</v>
      </c>
      <c r="CJ7" t="e">
        <f>AND('VEL-LECT'!W33,"AAAAAFVdT1c=")</f>
        <v>#VALUE!</v>
      </c>
      <c r="CK7" t="e">
        <f>AND('VEL-LECT'!X33,"AAAAAFVdT1g=")</f>
        <v>#VALUE!</v>
      </c>
      <c r="CL7" t="e">
        <f>AND('VEL-LECT'!Y33,"AAAAAFVdT1k=")</f>
        <v>#VALUE!</v>
      </c>
      <c r="CM7" t="e">
        <f>AND('VEL-LECT'!Z33,"AAAAAFVdT1o=")</f>
        <v>#VALUE!</v>
      </c>
      <c r="CN7" t="e">
        <f>AND('VEL-LECT'!AA33,"AAAAAFVdT1s=")</f>
        <v>#VALUE!</v>
      </c>
      <c r="CO7" t="e">
        <f>AND('VEL-LECT'!AB33,"AAAAAFVdT1w=")</f>
        <v>#VALUE!</v>
      </c>
      <c r="CP7" t="e">
        <f>AND('VEL-LECT'!AC33,"AAAAAFVdT10=")</f>
        <v>#VALUE!</v>
      </c>
      <c r="CQ7" t="e">
        <f>AND('VEL-LECT'!AD33,"AAAAAFVdT14=")</f>
        <v>#VALUE!</v>
      </c>
      <c r="CR7" t="e">
        <f>AND('VEL-LECT'!AE33,"AAAAAFVdT18=")</f>
        <v>#VALUE!</v>
      </c>
      <c r="CS7" t="e">
        <f>AND('VEL-LECT'!AF33,"AAAAAFVdT2A=")</f>
        <v>#VALUE!</v>
      </c>
      <c r="CT7" t="e">
        <f>AND('VEL-LECT'!AG33,"AAAAAFVdT2E=")</f>
        <v>#VALUE!</v>
      </c>
      <c r="CU7" t="e">
        <f>AND('VEL-LECT'!AH33,"AAAAAFVdT2I=")</f>
        <v>#VALUE!</v>
      </c>
      <c r="CV7" t="e">
        <f>AND('VEL-LECT'!AI33,"AAAAAFVdT2M=")</f>
        <v>#VALUE!</v>
      </c>
      <c r="CW7" t="e">
        <f>AND('VEL-LECT'!AJ33,"AAAAAFVdT2Q=")</f>
        <v>#VALUE!</v>
      </c>
      <c r="CX7" t="e">
        <f>AND('VEL-LECT'!AK33,"AAAAAFVdT2U=")</f>
        <v>#VALUE!</v>
      </c>
      <c r="CY7" t="e">
        <f>AND('VEL-LECT'!AL33,"AAAAAFVdT2Y=")</f>
        <v>#VALUE!</v>
      </c>
      <c r="CZ7" t="e">
        <f>AND('VEL-LECT'!AM33,"AAAAAFVdT2c=")</f>
        <v>#VALUE!</v>
      </c>
      <c r="DA7" t="e">
        <f>AND('VEL-LECT'!AN33,"AAAAAFVdT2g=")</f>
        <v>#VALUE!</v>
      </c>
      <c r="DB7" t="e">
        <f>AND('VEL-LECT'!AO33,"AAAAAFVdT2k=")</f>
        <v>#VALUE!</v>
      </c>
      <c r="DC7" t="e">
        <f>AND('VEL-LECT'!AP33,"AAAAAFVdT2o=")</f>
        <v>#VALUE!</v>
      </c>
      <c r="DD7" t="e">
        <f>AND('VEL-LECT'!AQ33,"AAAAAFVdT2s=")</f>
        <v>#VALUE!</v>
      </c>
      <c r="DE7" t="e">
        <f>AND('VEL-LECT'!AR33,"AAAAAFVdT2w=")</f>
        <v>#VALUE!</v>
      </c>
      <c r="DF7" t="e">
        <f>AND('VEL-LECT'!AS33,"AAAAAFVdT20=")</f>
        <v>#VALUE!</v>
      </c>
      <c r="DG7" t="e">
        <f>AND('VEL-LECT'!AT33,"AAAAAFVdT24=")</f>
        <v>#VALUE!</v>
      </c>
      <c r="DH7" t="e">
        <f>AND('VEL-LECT'!AU33,"AAAAAFVdT28=")</f>
        <v>#VALUE!</v>
      </c>
      <c r="DI7" t="e">
        <f>AND('VEL-LECT'!AV33,"AAAAAFVdT3A=")</f>
        <v>#VALUE!</v>
      </c>
      <c r="DJ7" t="e">
        <f>AND('VEL-LECT'!AW33,"AAAAAFVdT3E=")</f>
        <v>#VALUE!</v>
      </c>
      <c r="DK7">
        <f>IF('VEL-LECT'!34:34,"AAAAAFVdT3I=",0)</f>
        <v>0</v>
      </c>
      <c r="DL7" t="e">
        <f>AND('VEL-LECT'!A34,"AAAAAFVdT3M=")</f>
        <v>#VALUE!</v>
      </c>
      <c r="DM7" t="e">
        <f>AND('VEL-LECT'!B34,"AAAAAFVdT3Q=")</f>
        <v>#VALUE!</v>
      </c>
      <c r="DN7" t="e">
        <f>AND('VEL-LECT'!C34,"AAAAAFVdT3U=")</f>
        <v>#VALUE!</v>
      </c>
      <c r="DO7" t="e">
        <f>AND('VEL-LECT'!D34,"AAAAAFVdT3Y=")</f>
        <v>#VALUE!</v>
      </c>
      <c r="DP7" t="e">
        <f>AND('VEL-LECT'!E34,"AAAAAFVdT3c=")</f>
        <v>#VALUE!</v>
      </c>
      <c r="DQ7" t="e">
        <f>AND('VEL-LECT'!F34,"AAAAAFVdT3g=")</f>
        <v>#VALUE!</v>
      </c>
      <c r="DR7" t="e">
        <f>AND('VEL-LECT'!G34,"AAAAAFVdT3k=")</f>
        <v>#VALUE!</v>
      </c>
      <c r="DS7" t="e">
        <f>AND('VEL-LECT'!H34,"AAAAAFVdT3o=")</f>
        <v>#VALUE!</v>
      </c>
      <c r="DT7" t="e">
        <f>AND('VEL-LECT'!I34,"AAAAAFVdT3s=")</f>
        <v>#VALUE!</v>
      </c>
      <c r="DU7" t="e">
        <f>AND('VEL-LECT'!J34,"AAAAAFVdT3w=")</f>
        <v>#VALUE!</v>
      </c>
      <c r="DV7" t="e">
        <f>AND('VEL-LECT'!K34,"AAAAAFVdT30=")</f>
        <v>#VALUE!</v>
      </c>
      <c r="DW7" t="e">
        <f>AND('VEL-LECT'!L34,"AAAAAFVdT34=")</f>
        <v>#VALUE!</v>
      </c>
      <c r="DX7" t="e">
        <f>AND('VEL-LECT'!M34,"AAAAAFVdT38=")</f>
        <v>#VALUE!</v>
      </c>
      <c r="DY7" t="e">
        <f>AND('VEL-LECT'!N34,"AAAAAFVdT4A=")</f>
        <v>#VALUE!</v>
      </c>
      <c r="DZ7" t="e">
        <f>AND('VEL-LECT'!O34,"AAAAAFVdT4E=")</f>
        <v>#VALUE!</v>
      </c>
      <c r="EA7" t="e">
        <f>AND('VEL-LECT'!P34,"AAAAAFVdT4I=")</f>
        <v>#VALUE!</v>
      </c>
      <c r="EB7" t="e">
        <f>AND('VEL-LECT'!Q34,"AAAAAFVdT4M=")</f>
        <v>#VALUE!</v>
      </c>
      <c r="EC7" t="e">
        <f>AND('VEL-LECT'!R34,"AAAAAFVdT4Q=")</f>
        <v>#VALUE!</v>
      </c>
      <c r="ED7" t="e">
        <f>AND('VEL-LECT'!S34,"AAAAAFVdT4U=")</f>
        <v>#VALUE!</v>
      </c>
      <c r="EE7" t="e">
        <f>AND('VEL-LECT'!T34,"AAAAAFVdT4Y=")</f>
        <v>#VALUE!</v>
      </c>
      <c r="EF7" t="e">
        <f>AND('VEL-LECT'!U34,"AAAAAFVdT4c=")</f>
        <v>#VALUE!</v>
      </c>
      <c r="EG7" t="e">
        <f>AND('VEL-LECT'!V34,"AAAAAFVdT4g=")</f>
        <v>#VALUE!</v>
      </c>
      <c r="EH7" t="e">
        <f>AND('VEL-LECT'!W34,"AAAAAFVdT4k=")</f>
        <v>#VALUE!</v>
      </c>
      <c r="EI7" t="e">
        <f>AND('VEL-LECT'!X34,"AAAAAFVdT4o=")</f>
        <v>#VALUE!</v>
      </c>
      <c r="EJ7" t="e">
        <f>AND('VEL-LECT'!Y34,"AAAAAFVdT4s=")</f>
        <v>#VALUE!</v>
      </c>
      <c r="EK7" t="e">
        <f>AND('VEL-LECT'!Z34,"AAAAAFVdT4w=")</f>
        <v>#VALUE!</v>
      </c>
      <c r="EL7" t="e">
        <f>AND('VEL-LECT'!AA34,"AAAAAFVdT40=")</f>
        <v>#VALUE!</v>
      </c>
      <c r="EM7" t="e">
        <f>AND('VEL-LECT'!AB34,"AAAAAFVdT44=")</f>
        <v>#VALUE!</v>
      </c>
      <c r="EN7" t="e">
        <f>AND('VEL-LECT'!AC34,"AAAAAFVdT48=")</f>
        <v>#VALUE!</v>
      </c>
      <c r="EO7" t="e">
        <f>AND('VEL-LECT'!AD34,"AAAAAFVdT5A=")</f>
        <v>#VALUE!</v>
      </c>
      <c r="EP7" t="e">
        <f>AND('VEL-LECT'!AE34,"AAAAAFVdT5E=")</f>
        <v>#VALUE!</v>
      </c>
      <c r="EQ7" t="e">
        <f>AND('VEL-LECT'!AF34,"AAAAAFVdT5I=")</f>
        <v>#VALUE!</v>
      </c>
      <c r="ER7" t="e">
        <f>AND('VEL-LECT'!AG34,"AAAAAFVdT5M=")</f>
        <v>#VALUE!</v>
      </c>
      <c r="ES7" t="e">
        <f>AND('VEL-LECT'!AH34,"AAAAAFVdT5Q=")</f>
        <v>#VALUE!</v>
      </c>
      <c r="ET7" t="e">
        <f>AND('VEL-LECT'!AI34,"AAAAAFVdT5U=")</f>
        <v>#VALUE!</v>
      </c>
      <c r="EU7" t="e">
        <f>AND('VEL-LECT'!AJ34,"AAAAAFVdT5Y=")</f>
        <v>#VALUE!</v>
      </c>
      <c r="EV7" t="e">
        <f>AND('VEL-LECT'!AK34,"AAAAAFVdT5c=")</f>
        <v>#VALUE!</v>
      </c>
      <c r="EW7" t="e">
        <f>AND('VEL-LECT'!AL34,"AAAAAFVdT5g=")</f>
        <v>#VALUE!</v>
      </c>
      <c r="EX7" t="e">
        <f>AND('VEL-LECT'!AM34,"AAAAAFVdT5k=")</f>
        <v>#VALUE!</v>
      </c>
      <c r="EY7" t="e">
        <f>AND('VEL-LECT'!AN34,"AAAAAFVdT5o=")</f>
        <v>#VALUE!</v>
      </c>
      <c r="EZ7" t="e">
        <f>AND('VEL-LECT'!AO34,"AAAAAFVdT5s=")</f>
        <v>#VALUE!</v>
      </c>
      <c r="FA7" t="e">
        <f>AND('VEL-LECT'!AP34,"AAAAAFVdT5w=")</f>
        <v>#VALUE!</v>
      </c>
      <c r="FB7" t="e">
        <f>AND('VEL-LECT'!AQ34,"AAAAAFVdT50=")</f>
        <v>#VALUE!</v>
      </c>
      <c r="FC7" t="e">
        <f>AND('VEL-LECT'!AR34,"AAAAAFVdT54=")</f>
        <v>#VALUE!</v>
      </c>
      <c r="FD7" t="e">
        <f>AND('VEL-LECT'!AS34,"AAAAAFVdT58=")</f>
        <v>#VALUE!</v>
      </c>
      <c r="FE7" t="e">
        <f>AND('VEL-LECT'!AT34,"AAAAAFVdT6A=")</f>
        <v>#VALUE!</v>
      </c>
      <c r="FF7" t="e">
        <f>AND('VEL-LECT'!AU34,"AAAAAFVdT6E=")</f>
        <v>#VALUE!</v>
      </c>
      <c r="FG7" t="e">
        <f>AND('VEL-LECT'!AV34,"AAAAAFVdT6I=")</f>
        <v>#VALUE!</v>
      </c>
      <c r="FH7" t="e">
        <f>AND('VEL-LECT'!AW34,"AAAAAFVdT6M=")</f>
        <v>#VALUE!</v>
      </c>
      <c r="FI7">
        <f>IF('VEL-LECT'!35:35,"AAAAAFVdT6Q=",0)</f>
        <v>0</v>
      </c>
      <c r="FJ7" t="e">
        <f>AND('VEL-LECT'!A35,"AAAAAFVdT6U=")</f>
        <v>#VALUE!</v>
      </c>
      <c r="FK7" t="e">
        <f>AND('VEL-LECT'!B35,"AAAAAFVdT6Y=")</f>
        <v>#VALUE!</v>
      </c>
      <c r="FL7" t="e">
        <f>AND('VEL-LECT'!C35,"AAAAAFVdT6c=")</f>
        <v>#VALUE!</v>
      </c>
      <c r="FM7" t="e">
        <f>AND('VEL-LECT'!D35,"AAAAAFVdT6g=")</f>
        <v>#VALUE!</v>
      </c>
      <c r="FN7" t="e">
        <f>AND('VEL-LECT'!E35,"AAAAAFVdT6k=")</f>
        <v>#VALUE!</v>
      </c>
      <c r="FO7" t="e">
        <f>AND('VEL-LECT'!F35,"AAAAAFVdT6o=")</f>
        <v>#VALUE!</v>
      </c>
      <c r="FP7" t="e">
        <f>AND('VEL-LECT'!G35,"AAAAAFVdT6s=")</f>
        <v>#VALUE!</v>
      </c>
      <c r="FQ7" t="e">
        <f>AND('VEL-LECT'!H35,"AAAAAFVdT6w=")</f>
        <v>#VALUE!</v>
      </c>
      <c r="FR7" t="e">
        <f>AND('VEL-LECT'!I35,"AAAAAFVdT60=")</f>
        <v>#VALUE!</v>
      </c>
      <c r="FS7" t="e">
        <f>AND('VEL-LECT'!J35,"AAAAAFVdT64=")</f>
        <v>#VALUE!</v>
      </c>
      <c r="FT7" t="e">
        <f>AND('VEL-LECT'!K35,"AAAAAFVdT68=")</f>
        <v>#VALUE!</v>
      </c>
      <c r="FU7" t="e">
        <f>AND('VEL-LECT'!L35,"AAAAAFVdT7A=")</f>
        <v>#VALUE!</v>
      </c>
      <c r="FV7" t="e">
        <f>AND('VEL-LECT'!M35,"AAAAAFVdT7E=")</f>
        <v>#VALUE!</v>
      </c>
      <c r="FW7" t="e">
        <f>AND('VEL-LECT'!N35,"AAAAAFVdT7I=")</f>
        <v>#VALUE!</v>
      </c>
      <c r="FX7" t="e">
        <f>AND('VEL-LECT'!O35,"AAAAAFVdT7M=")</f>
        <v>#VALUE!</v>
      </c>
      <c r="FY7" t="e">
        <f>AND('VEL-LECT'!P35,"AAAAAFVdT7Q=")</f>
        <v>#VALUE!</v>
      </c>
      <c r="FZ7" t="e">
        <f>AND('VEL-LECT'!Q35,"AAAAAFVdT7U=")</f>
        <v>#VALUE!</v>
      </c>
      <c r="GA7" t="e">
        <f>AND('VEL-LECT'!R35,"AAAAAFVdT7Y=")</f>
        <v>#VALUE!</v>
      </c>
      <c r="GB7" t="e">
        <f>AND('VEL-LECT'!S35,"AAAAAFVdT7c=")</f>
        <v>#VALUE!</v>
      </c>
      <c r="GC7" t="e">
        <f>AND('VEL-LECT'!T35,"AAAAAFVdT7g=")</f>
        <v>#VALUE!</v>
      </c>
      <c r="GD7" t="e">
        <f>AND('VEL-LECT'!U35,"AAAAAFVdT7k=")</f>
        <v>#VALUE!</v>
      </c>
      <c r="GE7" t="e">
        <f>AND('VEL-LECT'!V35,"AAAAAFVdT7o=")</f>
        <v>#VALUE!</v>
      </c>
      <c r="GF7" t="e">
        <f>AND('VEL-LECT'!W35,"AAAAAFVdT7s=")</f>
        <v>#VALUE!</v>
      </c>
      <c r="GG7" t="e">
        <f>AND('VEL-LECT'!X35,"AAAAAFVdT7w=")</f>
        <v>#VALUE!</v>
      </c>
      <c r="GH7" t="e">
        <f>AND('VEL-LECT'!Y35,"AAAAAFVdT70=")</f>
        <v>#VALUE!</v>
      </c>
      <c r="GI7" t="e">
        <f>AND('VEL-LECT'!Z35,"AAAAAFVdT74=")</f>
        <v>#VALUE!</v>
      </c>
      <c r="GJ7" t="e">
        <f>AND('VEL-LECT'!AA35,"AAAAAFVdT78=")</f>
        <v>#VALUE!</v>
      </c>
      <c r="GK7" t="e">
        <f>AND('VEL-LECT'!AB35,"AAAAAFVdT8A=")</f>
        <v>#VALUE!</v>
      </c>
      <c r="GL7" t="e">
        <f>AND('VEL-LECT'!AC35,"AAAAAFVdT8E=")</f>
        <v>#VALUE!</v>
      </c>
      <c r="GM7" t="e">
        <f>AND('VEL-LECT'!AD35,"AAAAAFVdT8I=")</f>
        <v>#VALUE!</v>
      </c>
      <c r="GN7" t="e">
        <f>AND('VEL-LECT'!AE35,"AAAAAFVdT8M=")</f>
        <v>#VALUE!</v>
      </c>
      <c r="GO7" t="e">
        <f>AND('VEL-LECT'!AF35,"AAAAAFVdT8Q=")</f>
        <v>#VALUE!</v>
      </c>
      <c r="GP7" t="e">
        <f>AND('VEL-LECT'!AG35,"AAAAAFVdT8U=")</f>
        <v>#VALUE!</v>
      </c>
      <c r="GQ7" t="e">
        <f>AND('VEL-LECT'!AH35,"AAAAAFVdT8Y=")</f>
        <v>#VALUE!</v>
      </c>
      <c r="GR7" t="e">
        <f>AND('VEL-LECT'!AI35,"AAAAAFVdT8c=")</f>
        <v>#VALUE!</v>
      </c>
      <c r="GS7" t="e">
        <f>AND('VEL-LECT'!AJ35,"AAAAAFVdT8g=")</f>
        <v>#VALUE!</v>
      </c>
      <c r="GT7" t="e">
        <f>AND('VEL-LECT'!AK35,"AAAAAFVdT8k=")</f>
        <v>#VALUE!</v>
      </c>
      <c r="GU7" t="e">
        <f>AND('VEL-LECT'!AL35,"AAAAAFVdT8o=")</f>
        <v>#VALUE!</v>
      </c>
      <c r="GV7" t="e">
        <f>AND('VEL-LECT'!AM35,"AAAAAFVdT8s=")</f>
        <v>#VALUE!</v>
      </c>
      <c r="GW7" t="e">
        <f>AND('VEL-LECT'!AN35,"AAAAAFVdT8w=")</f>
        <v>#VALUE!</v>
      </c>
      <c r="GX7" t="e">
        <f>AND('VEL-LECT'!AO35,"AAAAAFVdT80=")</f>
        <v>#VALUE!</v>
      </c>
      <c r="GY7" t="e">
        <f>AND('VEL-LECT'!AP35,"AAAAAFVdT84=")</f>
        <v>#VALUE!</v>
      </c>
      <c r="GZ7" t="e">
        <f>AND('VEL-LECT'!AQ35,"AAAAAFVdT88=")</f>
        <v>#VALUE!</v>
      </c>
      <c r="HA7" t="e">
        <f>AND('VEL-LECT'!AR35,"AAAAAFVdT9A=")</f>
        <v>#VALUE!</v>
      </c>
      <c r="HB7" t="e">
        <f>AND('VEL-LECT'!AS35,"AAAAAFVdT9E=")</f>
        <v>#VALUE!</v>
      </c>
      <c r="HC7" t="e">
        <f>AND('VEL-LECT'!AT35,"AAAAAFVdT9I=")</f>
        <v>#VALUE!</v>
      </c>
      <c r="HD7" t="e">
        <f>AND('VEL-LECT'!AU35,"AAAAAFVdT9M=")</f>
        <v>#VALUE!</v>
      </c>
      <c r="HE7" t="e">
        <f>AND('VEL-LECT'!AV35,"AAAAAFVdT9Q=")</f>
        <v>#VALUE!</v>
      </c>
      <c r="HF7" t="e">
        <f>AND('VEL-LECT'!AW35,"AAAAAFVdT9U=")</f>
        <v>#VALUE!</v>
      </c>
      <c r="HG7">
        <f>IF('VEL-LECT'!36:36,"AAAAAFVdT9Y=",0)</f>
        <v>0</v>
      </c>
      <c r="HH7" t="e">
        <f>AND('VEL-LECT'!A36,"AAAAAFVdT9c=")</f>
        <v>#VALUE!</v>
      </c>
      <c r="HI7" t="e">
        <f>AND('VEL-LECT'!B36,"AAAAAFVdT9g=")</f>
        <v>#VALUE!</v>
      </c>
      <c r="HJ7" t="e">
        <f>AND('VEL-LECT'!C36,"AAAAAFVdT9k=")</f>
        <v>#VALUE!</v>
      </c>
      <c r="HK7" t="e">
        <f>AND('VEL-LECT'!D36,"AAAAAFVdT9o=")</f>
        <v>#VALUE!</v>
      </c>
      <c r="HL7" t="e">
        <f>AND('VEL-LECT'!E36,"AAAAAFVdT9s=")</f>
        <v>#VALUE!</v>
      </c>
      <c r="HM7" t="e">
        <f>AND('VEL-LECT'!F36,"AAAAAFVdT9w=")</f>
        <v>#VALUE!</v>
      </c>
      <c r="HN7" t="e">
        <f>AND('VEL-LECT'!G36,"AAAAAFVdT90=")</f>
        <v>#VALUE!</v>
      </c>
      <c r="HO7" t="e">
        <f>AND('VEL-LECT'!H36,"AAAAAFVdT94=")</f>
        <v>#VALUE!</v>
      </c>
      <c r="HP7" t="e">
        <f>AND('VEL-LECT'!I36,"AAAAAFVdT98=")</f>
        <v>#VALUE!</v>
      </c>
      <c r="HQ7" t="e">
        <f>AND('VEL-LECT'!J36,"AAAAAFVdT+A=")</f>
        <v>#VALUE!</v>
      </c>
      <c r="HR7" t="e">
        <f>AND('VEL-LECT'!K36,"AAAAAFVdT+E=")</f>
        <v>#VALUE!</v>
      </c>
      <c r="HS7" t="e">
        <f>AND('VEL-LECT'!L36,"AAAAAFVdT+I=")</f>
        <v>#VALUE!</v>
      </c>
      <c r="HT7" t="e">
        <f>AND('VEL-LECT'!M36,"AAAAAFVdT+M=")</f>
        <v>#VALUE!</v>
      </c>
      <c r="HU7" t="e">
        <f>AND('VEL-LECT'!N36,"AAAAAFVdT+Q=")</f>
        <v>#VALUE!</v>
      </c>
      <c r="HV7" t="e">
        <f>AND('VEL-LECT'!O36,"AAAAAFVdT+U=")</f>
        <v>#VALUE!</v>
      </c>
      <c r="HW7" t="e">
        <f>AND('VEL-LECT'!P36,"AAAAAFVdT+Y=")</f>
        <v>#VALUE!</v>
      </c>
      <c r="HX7" t="e">
        <f>AND('VEL-LECT'!Q36,"AAAAAFVdT+c=")</f>
        <v>#VALUE!</v>
      </c>
      <c r="HY7" t="e">
        <f>AND('VEL-LECT'!R36,"AAAAAFVdT+g=")</f>
        <v>#VALUE!</v>
      </c>
      <c r="HZ7" t="e">
        <f>AND('VEL-LECT'!S36,"AAAAAFVdT+k=")</f>
        <v>#VALUE!</v>
      </c>
      <c r="IA7" t="e">
        <f>AND('VEL-LECT'!T36,"AAAAAFVdT+o=")</f>
        <v>#VALUE!</v>
      </c>
      <c r="IB7" t="e">
        <f>AND('VEL-LECT'!U36,"AAAAAFVdT+s=")</f>
        <v>#VALUE!</v>
      </c>
      <c r="IC7" t="e">
        <f>AND('VEL-LECT'!V36,"AAAAAFVdT+w=")</f>
        <v>#VALUE!</v>
      </c>
      <c r="ID7" t="e">
        <f>AND('VEL-LECT'!W36,"AAAAAFVdT+0=")</f>
        <v>#VALUE!</v>
      </c>
      <c r="IE7" t="e">
        <f>AND('VEL-LECT'!X36,"AAAAAFVdT+4=")</f>
        <v>#VALUE!</v>
      </c>
      <c r="IF7" t="e">
        <f>AND('VEL-LECT'!Y36,"AAAAAFVdT+8=")</f>
        <v>#VALUE!</v>
      </c>
      <c r="IG7" t="e">
        <f>AND('VEL-LECT'!Z36,"AAAAAFVdT/A=")</f>
        <v>#VALUE!</v>
      </c>
      <c r="IH7" t="e">
        <f>AND('VEL-LECT'!AA36,"AAAAAFVdT/E=")</f>
        <v>#VALUE!</v>
      </c>
      <c r="II7" t="e">
        <f>AND('VEL-LECT'!AB36,"AAAAAFVdT/I=")</f>
        <v>#VALUE!</v>
      </c>
      <c r="IJ7" t="e">
        <f>AND('VEL-LECT'!AC36,"AAAAAFVdT/M=")</f>
        <v>#VALUE!</v>
      </c>
      <c r="IK7" t="e">
        <f>AND('VEL-LECT'!AD36,"AAAAAFVdT/Q=")</f>
        <v>#VALUE!</v>
      </c>
      <c r="IL7" t="e">
        <f>AND('VEL-LECT'!AE36,"AAAAAFVdT/U=")</f>
        <v>#VALUE!</v>
      </c>
      <c r="IM7" t="e">
        <f>AND('VEL-LECT'!AF36,"AAAAAFVdT/Y=")</f>
        <v>#VALUE!</v>
      </c>
      <c r="IN7" t="e">
        <f>AND('VEL-LECT'!AG36,"AAAAAFVdT/c=")</f>
        <v>#VALUE!</v>
      </c>
      <c r="IO7" t="e">
        <f>AND('VEL-LECT'!AH36,"AAAAAFVdT/g=")</f>
        <v>#VALUE!</v>
      </c>
      <c r="IP7" t="e">
        <f>AND('VEL-LECT'!AI36,"AAAAAFVdT/k=")</f>
        <v>#VALUE!</v>
      </c>
      <c r="IQ7" t="e">
        <f>AND('VEL-LECT'!AJ36,"AAAAAFVdT/o=")</f>
        <v>#VALUE!</v>
      </c>
      <c r="IR7" t="e">
        <f>AND('VEL-LECT'!AK36,"AAAAAFVdT/s=")</f>
        <v>#VALUE!</v>
      </c>
      <c r="IS7" t="e">
        <f>AND('VEL-LECT'!AL36,"AAAAAFVdT/w=")</f>
        <v>#VALUE!</v>
      </c>
      <c r="IT7" t="e">
        <f>AND('VEL-LECT'!AM36,"AAAAAFVdT/0=")</f>
        <v>#VALUE!</v>
      </c>
      <c r="IU7" t="e">
        <f>AND('VEL-LECT'!AN36,"AAAAAFVdT/4=")</f>
        <v>#VALUE!</v>
      </c>
      <c r="IV7" t="e">
        <f>AND('VEL-LECT'!AO36,"AAAAAFVdT/8=")</f>
        <v>#VALUE!</v>
      </c>
    </row>
    <row r="8" spans="1:256" ht="15">
      <c r="A8" t="e">
        <f>AND('VEL-LECT'!AP36,"AAAAAF/vlQA=")</f>
        <v>#VALUE!</v>
      </c>
      <c r="B8" t="e">
        <f>AND('VEL-LECT'!AQ36,"AAAAAF/vlQE=")</f>
        <v>#VALUE!</v>
      </c>
      <c r="C8" t="e">
        <f>AND('VEL-LECT'!AR36,"AAAAAF/vlQI=")</f>
        <v>#VALUE!</v>
      </c>
      <c r="D8" t="e">
        <f>AND('VEL-LECT'!AS36,"AAAAAF/vlQM=")</f>
        <v>#VALUE!</v>
      </c>
      <c r="E8" t="e">
        <f>AND('VEL-LECT'!AT36,"AAAAAF/vlQQ=")</f>
        <v>#VALUE!</v>
      </c>
      <c r="F8" t="e">
        <f>AND('VEL-LECT'!AU36,"AAAAAF/vlQU=")</f>
        <v>#VALUE!</v>
      </c>
      <c r="G8" t="e">
        <f>AND('VEL-LECT'!AV36,"AAAAAF/vlQY=")</f>
        <v>#VALUE!</v>
      </c>
      <c r="H8" t="e">
        <f>AND('VEL-LECT'!AW36,"AAAAAF/vlQc=")</f>
        <v>#VALUE!</v>
      </c>
      <c r="I8">
        <f>IF('VEL-LECT'!37:37,"AAAAAF/vlQg=",0)</f>
        <v>0</v>
      </c>
      <c r="J8" t="e">
        <f>AND('VEL-LECT'!A37,"AAAAAF/vlQk=")</f>
        <v>#VALUE!</v>
      </c>
      <c r="K8" t="e">
        <f>AND('VEL-LECT'!B37,"AAAAAF/vlQo=")</f>
        <v>#VALUE!</v>
      </c>
      <c r="L8" t="e">
        <f>AND('VEL-LECT'!C37,"AAAAAF/vlQs=")</f>
        <v>#VALUE!</v>
      </c>
      <c r="M8" t="e">
        <f>AND('VEL-LECT'!D37,"AAAAAF/vlQw=")</f>
        <v>#VALUE!</v>
      </c>
      <c r="N8" t="e">
        <f>AND('VEL-LECT'!E37,"AAAAAF/vlQ0=")</f>
        <v>#VALUE!</v>
      </c>
      <c r="O8" t="e">
        <f>AND('VEL-LECT'!F37,"AAAAAF/vlQ4=")</f>
        <v>#VALUE!</v>
      </c>
      <c r="P8" t="e">
        <f>AND('VEL-LECT'!G37,"AAAAAF/vlQ8=")</f>
        <v>#VALUE!</v>
      </c>
      <c r="Q8" t="e">
        <f>AND('VEL-LECT'!H37,"AAAAAF/vlRA=")</f>
        <v>#VALUE!</v>
      </c>
      <c r="R8" t="e">
        <f>AND('VEL-LECT'!I37,"AAAAAF/vlRE=")</f>
        <v>#VALUE!</v>
      </c>
      <c r="S8" t="e">
        <f>AND('VEL-LECT'!J37,"AAAAAF/vlRI=")</f>
        <v>#VALUE!</v>
      </c>
      <c r="T8" t="e">
        <f>AND('VEL-LECT'!K37,"AAAAAF/vlRM=")</f>
        <v>#VALUE!</v>
      </c>
      <c r="U8" t="e">
        <f>AND('VEL-LECT'!L37,"AAAAAF/vlRQ=")</f>
        <v>#VALUE!</v>
      </c>
      <c r="V8" t="e">
        <f>AND('VEL-LECT'!M37,"AAAAAF/vlRU=")</f>
        <v>#VALUE!</v>
      </c>
      <c r="W8" t="e">
        <f>AND('VEL-LECT'!N37,"AAAAAF/vlRY=")</f>
        <v>#VALUE!</v>
      </c>
      <c r="X8" t="e">
        <f>AND('VEL-LECT'!O37,"AAAAAF/vlRc=")</f>
        <v>#VALUE!</v>
      </c>
      <c r="Y8" t="e">
        <f>AND('VEL-LECT'!P37,"AAAAAF/vlRg=")</f>
        <v>#VALUE!</v>
      </c>
      <c r="Z8" t="e">
        <f>AND('VEL-LECT'!Q37,"AAAAAF/vlRk=")</f>
        <v>#VALUE!</v>
      </c>
      <c r="AA8" t="e">
        <f>AND('VEL-LECT'!R37,"AAAAAF/vlRo=")</f>
        <v>#VALUE!</v>
      </c>
      <c r="AB8" t="e">
        <f>AND('VEL-LECT'!S37,"AAAAAF/vlRs=")</f>
        <v>#VALUE!</v>
      </c>
      <c r="AC8" t="e">
        <f>AND('VEL-LECT'!T37,"AAAAAF/vlRw=")</f>
        <v>#VALUE!</v>
      </c>
      <c r="AD8" t="e">
        <f>AND('VEL-LECT'!U37,"AAAAAF/vlR0=")</f>
        <v>#VALUE!</v>
      </c>
      <c r="AE8" t="e">
        <f>AND('VEL-LECT'!V37,"AAAAAF/vlR4=")</f>
        <v>#VALUE!</v>
      </c>
      <c r="AF8" t="e">
        <f>AND('VEL-LECT'!W37,"AAAAAF/vlR8=")</f>
        <v>#VALUE!</v>
      </c>
      <c r="AG8" t="e">
        <f>AND('VEL-LECT'!X37,"AAAAAF/vlSA=")</f>
        <v>#VALUE!</v>
      </c>
      <c r="AH8" t="e">
        <f>AND('VEL-LECT'!Y37,"AAAAAF/vlSE=")</f>
        <v>#VALUE!</v>
      </c>
      <c r="AI8" t="e">
        <f>AND('VEL-LECT'!Z37,"AAAAAF/vlSI=")</f>
        <v>#VALUE!</v>
      </c>
      <c r="AJ8" t="e">
        <f>AND('VEL-LECT'!AA37,"AAAAAF/vlSM=")</f>
        <v>#VALUE!</v>
      </c>
      <c r="AK8" t="e">
        <f>AND('VEL-LECT'!AB37,"AAAAAF/vlSQ=")</f>
        <v>#VALUE!</v>
      </c>
      <c r="AL8" t="e">
        <f>AND('VEL-LECT'!AC37,"AAAAAF/vlSU=")</f>
        <v>#VALUE!</v>
      </c>
      <c r="AM8" t="e">
        <f>AND('VEL-LECT'!AD37,"AAAAAF/vlSY=")</f>
        <v>#VALUE!</v>
      </c>
      <c r="AN8" t="e">
        <f>AND('VEL-LECT'!AE37,"AAAAAF/vlSc=")</f>
        <v>#VALUE!</v>
      </c>
      <c r="AO8" t="e">
        <f>AND('VEL-LECT'!AF37,"AAAAAF/vlSg=")</f>
        <v>#VALUE!</v>
      </c>
      <c r="AP8" t="e">
        <f>AND('VEL-LECT'!AG37,"AAAAAF/vlSk=")</f>
        <v>#VALUE!</v>
      </c>
      <c r="AQ8" t="e">
        <f>AND('VEL-LECT'!AH37,"AAAAAF/vlSo=")</f>
        <v>#VALUE!</v>
      </c>
      <c r="AR8" t="e">
        <f>AND('VEL-LECT'!AI37,"AAAAAF/vlSs=")</f>
        <v>#VALUE!</v>
      </c>
      <c r="AS8" t="e">
        <f>AND('VEL-LECT'!AJ37,"AAAAAF/vlSw=")</f>
        <v>#VALUE!</v>
      </c>
      <c r="AT8" t="e">
        <f>AND('VEL-LECT'!AK37,"AAAAAF/vlS0=")</f>
        <v>#VALUE!</v>
      </c>
      <c r="AU8" t="e">
        <f>AND('VEL-LECT'!AL37,"AAAAAF/vlS4=")</f>
        <v>#VALUE!</v>
      </c>
      <c r="AV8" t="e">
        <f>AND('VEL-LECT'!AM37,"AAAAAF/vlS8=")</f>
        <v>#VALUE!</v>
      </c>
      <c r="AW8" t="e">
        <f>AND('VEL-LECT'!AN37,"AAAAAF/vlTA=")</f>
        <v>#VALUE!</v>
      </c>
      <c r="AX8" t="e">
        <f>AND('VEL-LECT'!AO37,"AAAAAF/vlTE=")</f>
        <v>#VALUE!</v>
      </c>
      <c r="AY8" t="e">
        <f>AND('VEL-LECT'!AP37,"AAAAAF/vlTI=")</f>
        <v>#VALUE!</v>
      </c>
      <c r="AZ8" t="e">
        <f>AND('VEL-LECT'!AQ37,"AAAAAF/vlTM=")</f>
        <v>#VALUE!</v>
      </c>
      <c r="BA8" t="e">
        <f>AND('VEL-LECT'!AR37,"AAAAAF/vlTQ=")</f>
        <v>#VALUE!</v>
      </c>
      <c r="BB8" t="e">
        <f>AND('VEL-LECT'!AS37,"AAAAAF/vlTU=")</f>
        <v>#VALUE!</v>
      </c>
      <c r="BC8" t="e">
        <f>AND('VEL-LECT'!AT37,"AAAAAF/vlTY=")</f>
        <v>#VALUE!</v>
      </c>
      <c r="BD8" t="e">
        <f>AND('VEL-LECT'!AU37,"AAAAAF/vlTc=")</f>
        <v>#VALUE!</v>
      </c>
      <c r="BE8" t="e">
        <f>AND('VEL-LECT'!AV37,"AAAAAF/vlTg=")</f>
        <v>#VALUE!</v>
      </c>
      <c r="BF8" t="e">
        <f>AND('VEL-LECT'!AW37,"AAAAAF/vlTk=")</f>
        <v>#VALUE!</v>
      </c>
      <c r="BG8">
        <f>IF('VEL-LECT'!38:38,"AAAAAF/vlTo=",0)</f>
        <v>0</v>
      </c>
      <c r="BH8" t="e">
        <f>AND('VEL-LECT'!A38,"AAAAAF/vlTs=")</f>
        <v>#VALUE!</v>
      </c>
      <c r="BI8" t="e">
        <f>AND('VEL-LECT'!B38,"AAAAAF/vlTw=")</f>
        <v>#VALUE!</v>
      </c>
      <c r="BJ8" t="e">
        <f>AND('VEL-LECT'!C38,"AAAAAF/vlT0=")</f>
        <v>#VALUE!</v>
      </c>
      <c r="BK8" t="e">
        <f>AND('VEL-LECT'!D38,"AAAAAF/vlT4=")</f>
        <v>#VALUE!</v>
      </c>
      <c r="BL8" t="e">
        <f>AND('VEL-LECT'!E38,"AAAAAF/vlT8=")</f>
        <v>#VALUE!</v>
      </c>
      <c r="BM8" t="e">
        <f>AND('VEL-LECT'!F38,"AAAAAF/vlUA=")</f>
        <v>#VALUE!</v>
      </c>
      <c r="BN8" t="e">
        <f>AND('VEL-LECT'!G38,"AAAAAF/vlUE=")</f>
        <v>#VALUE!</v>
      </c>
      <c r="BO8" t="e">
        <f>AND('VEL-LECT'!H38,"AAAAAF/vlUI=")</f>
        <v>#VALUE!</v>
      </c>
      <c r="BP8" t="e">
        <f>AND('VEL-LECT'!I38,"AAAAAF/vlUM=")</f>
        <v>#VALUE!</v>
      </c>
      <c r="BQ8" t="e">
        <f>AND('VEL-LECT'!J38,"AAAAAF/vlUQ=")</f>
        <v>#VALUE!</v>
      </c>
      <c r="BR8" t="e">
        <f>AND('VEL-LECT'!K38,"AAAAAF/vlUU=")</f>
        <v>#VALUE!</v>
      </c>
      <c r="BS8" t="e">
        <f>AND('VEL-LECT'!L38,"AAAAAF/vlUY=")</f>
        <v>#VALUE!</v>
      </c>
      <c r="BT8" t="e">
        <f>AND('VEL-LECT'!M38,"AAAAAF/vlUc=")</f>
        <v>#VALUE!</v>
      </c>
      <c r="BU8" t="e">
        <f>AND('VEL-LECT'!N38,"AAAAAF/vlUg=")</f>
        <v>#VALUE!</v>
      </c>
      <c r="BV8" t="e">
        <f>AND('VEL-LECT'!O38,"AAAAAF/vlUk=")</f>
        <v>#VALUE!</v>
      </c>
      <c r="BW8" t="e">
        <f>AND('VEL-LECT'!P38,"AAAAAF/vlUo=")</f>
        <v>#VALUE!</v>
      </c>
      <c r="BX8" t="e">
        <f>AND('VEL-LECT'!Q38,"AAAAAF/vlUs=")</f>
        <v>#VALUE!</v>
      </c>
      <c r="BY8" t="e">
        <f>AND('VEL-LECT'!R38,"AAAAAF/vlUw=")</f>
        <v>#VALUE!</v>
      </c>
      <c r="BZ8" t="e">
        <f>AND('VEL-LECT'!S38,"AAAAAF/vlU0=")</f>
        <v>#VALUE!</v>
      </c>
      <c r="CA8" t="e">
        <f>AND('VEL-LECT'!T38,"AAAAAF/vlU4=")</f>
        <v>#VALUE!</v>
      </c>
      <c r="CB8" t="e">
        <f>AND('VEL-LECT'!U38,"AAAAAF/vlU8=")</f>
        <v>#VALUE!</v>
      </c>
      <c r="CC8" t="e">
        <f>AND('VEL-LECT'!V38,"AAAAAF/vlVA=")</f>
        <v>#VALUE!</v>
      </c>
      <c r="CD8" t="e">
        <f>AND('VEL-LECT'!W38,"AAAAAF/vlVE=")</f>
        <v>#VALUE!</v>
      </c>
      <c r="CE8" t="e">
        <f>AND('VEL-LECT'!X38,"AAAAAF/vlVI=")</f>
        <v>#VALUE!</v>
      </c>
      <c r="CF8" t="e">
        <f>AND('VEL-LECT'!Y38,"AAAAAF/vlVM=")</f>
        <v>#VALUE!</v>
      </c>
      <c r="CG8" t="e">
        <f>AND('VEL-LECT'!Z38,"AAAAAF/vlVQ=")</f>
        <v>#VALUE!</v>
      </c>
      <c r="CH8" t="e">
        <f>AND('VEL-LECT'!AA38,"AAAAAF/vlVU=")</f>
        <v>#VALUE!</v>
      </c>
      <c r="CI8" t="e">
        <f>AND('VEL-LECT'!AB38,"AAAAAF/vlVY=")</f>
        <v>#VALUE!</v>
      </c>
      <c r="CJ8" t="e">
        <f>AND('VEL-LECT'!AC38,"AAAAAF/vlVc=")</f>
        <v>#VALUE!</v>
      </c>
      <c r="CK8" t="e">
        <f>AND('VEL-LECT'!AD38,"AAAAAF/vlVg=")</f>
        <v>#VALUE!</v>
      </c>
      <c r="CL8" t="e">
        <f>AND('VEL-LECT'!AE38,"AAAAAF/vlVk=")</f>
        <v>#VALUE!</v>
      </c>
      <c r="CM8" t="e">
        <f>AND('VEL-LECT'!AF38,"AAAAAF/vlVo=")</f>
        <v>#VALUE!</v>
      </c>
      <c r="CN8" t="e">
        <f>AND('VEL-LECT'!AG38,"AAAAAF/vlVs=")</f>
        <v>#VALUE!</v>
      </c>
      <c r="CO8" t="e">
        <f>AND('VEL-LECT'!AH38,"AAAAAF/vlVw=")</f>
        <v>#VALUE!</v>
      </c>
      <c r="CP8" t="e">
        <f>AND('VEL-LECT'!AI38,"AAAAAF/vlV0=")</f>
        <v>#VALUE!</v>
      </c>
      <c r="CQ8" t="e">
        <f>AND('VEL-LECT'!AJ38,"AAAAAF/vlV4=")</f>
        <v>#VALUE!</v>
      </c>
      <c r="CR8" t="e">
        <f>AND('VEL-LECT'!AK38,"AAAAAF/vlV8=")</f>
        <v>#VALUE!</v>
      </c>
      <c r="CS8" t="e">
        <f>AND('VEL-LECT'!AL38,"AAAAAF/vlWA=")</f>
        <v>#VALUE!</v>
      </c>
      <c r="CT8" t="e">
        <f>AND('VEL-LECT'!AM38,"AAAAAF/vlWE=")</f>
        <v>#VALUE!</v>
      </c>
      <c r="CU8" t="e">
        <f>AND('VEL-LECT'!AN38,"AAAAAF/vlWI=")</f>
        <v>#VALUE!</v>
      </c>
      <c r="CV8" t="e">
        <f>AND('VEL-LECT'!AO38,"AAAAAF/vlWM=")</f>
        <v>#VALUE!</v>
      </c>
      <c r="CW8" t="e">
        <f>AND('VEL-LECT'!AP38,"AAAAAF/vlWQ=")</f>
        <v>#VALUE!</v>
      </c>
      <c r="CX8" t="e">
        <f>AND('VEL-LECT'!AQ38,"AAAAAF/vlWU=")</f>
        <v>#VALUE!</v>
      </c>
      <c r="CY8" t="e">
        <f>AND('VEL-LECT'!AR38,"AAAAAF/vlWY=")</f>
        <v>#VALUE!</v>
      </c>
      <c r="CZ8" t="e">
        <f>AND('VEL-LECT'!AS38,"AAAAAF/vlWc=")</f>
        <v>#VALUE!</v>
      </c>
      <c r="DA8" t="e">
        <f>AND('VEL-LECT'!AT38,"AAAAAF/vlWg=")</f>
        <v>#VALUE!</v>
      </c>
      <c r="DB8" t="e">
        <f>AND('VEL-LECT'!AU38,"AAAAAF/vlWk=")</f>
        <v>#VALUE!</v>
      </c>
      <c r="DC8" t="e">
        <f>AND('VEL-LECT'!AV38,"AAAAAF/vlWo=")</f>
        <v>#VALUE!</v>
      </c>
      <c r="DD8" t="e">
        <f>AND('VEL-LECT'!AW38,"AAAAAF/vlWs=")</f>
        <v>#VALUE!</v>
      </c>
      <c r="DE8">
        <f>IF('VEL-LECT'!39:39,"AAAAAF/vlWw=",0)</f>
        <v>0</v>
      </c>
      <c r="DF8" t="e">
        <f>AND('VEL-LECT'!A39,"AAAAAF/vlW0=")</f>
        <v>#VALUE!</v>
      </c>
      <c r="DG8" t="e">
        <f>AND('VEL-LECT'!B39,"AAAAAF/vlW4=")</f>
        <v>#VALUE!</v>
      </c>
      <c r="DH8" t="e">
        <f>AND('VEL-LECT'!C39,"AAAAAF/vlW8=")</f>
        <v>#VALUE!</v>
      </c>
      <c r="DI8" t="e">
        <f>AND('VEL-LECT'!D39,"AAAAAF/vlXA=")</f>
        <v>#VALUE!</v>
      </c>
      <c r="DJ8" t="e">
        <f>AND('VEL-LECT'!E39,"AAAAAF/vlXE=")</f>
        <v>#VALUE!</v>
      </c>
      <c r="DK8" t="e">
        <f>AND('VEL-LECT'!F39,"AAAAAF/vlXI=")</f>
        <v>#VALUE!</v>
      </c>
      <c r="DL8" t="e">
        <f>AND('VEL-LECT'!G39,"AAAAAF/vlXM=")</f>
        <v>#VALUE!</v>
      </c>
      <c r="DM8" t="e">
        <f>AND('VEL-LECT'!H39,"AAAAAF/vlXQ=")</f>
        <v>#VALUE!</v>
      </c>
      <c r="DN8" t="e">
        <f>AND('VEL-LECT'!I39,"AAAAAF/vlXU=")</f>
        <v>#VALUE!</v>
      </c>
      <c r="DO8" t="e">
        <f>AND('VEL-LECT'!J39,"AAAAAF/vlXY=")</f>
        <v>#VALUE!</v>
      </c>
      <c r="DP8" t="e">
        <f>AND('VEL-LECT'!K39,"AAAAAF/vlXc=")</f>
        <v>#VALUE!</v>
      </c>
      <c r="DQ8" t="e">
        <f>AND('VEL-LECT'!L39,"AAAAAF/vlXg=")</f>
        <v>#VALUE!</v>
      </c>
      <c r="DR8" t="e">
        <f>AND('VEL-LECT'!M39,"AAAAAF/vlXk=")</f>
        <v>#VALUE!</v>
      </c>
      <c r="DS8" t="e">
        <f>AND('VEL-LECT'!N39,"AAAAAF/vlXo=")</f>
        <v>#VALUE!</v>
      </c>
      <c r="DT8" t="e">
        <f>AND('VEL-LECT'!O39,"AAAAAF/vlXs=")</f>
        <v>#VALUE!</v>
      </c>
      <c r="DU8" t="e">
        <f>AND('VEL-LECT'!P39,"AAAAAF/vlXw=")</f>
        <v>#VALUE!</v>
      </c>
      <c r="DV8" t="e">
        <f>AND('VEL-LECT'!Q39,"AAAAAF/vlX0=")</f>
        <v>#VALUE!</v>
      </c>
      <c r="DW8" t="e">
        <f>AND('VEL-LECT'!R39,"AAAAAF/vlX4=")</f>
        <v>#VALUE!</v>
      </c>
      <c r="DX8" t="e">
        <f>AND('VEL-LECT'!S39,"AAAAAF/vlX8=")</f>
        <v>#VALUE!</v>
      </c>
      <c r="DY8" t="e">
        <f>AND('VEL-LECT'!T39,"AAAAAF/vlYA=")</f>
        <v>#VALUE!</v>
      </c>
      <c r="DZ8" t="e">
        <f>AND('VEL-LECT'!U39,"AAAAAF/vlYE=")</f>
        <v>#VALUE!</v>
      </c>
      <c r="EA8" t="e">
        <f>AND('VEL-LECT'!V39,"AAAAAF/vlYI=")</f>
        <v>#VALUE!</v>
      </c>
      <c r="EB8" t="e">
        <f>AND('VEL-LECT'!W39,"AAAAAF/vlYM=")</f>
        <v>#VALUE!</v>
      </c>
      <c r="EC8" t="e">
        <f>AND('VEL-LECT'!X39,"AAAAAF/vlYQ=")</f>
        <v>#VALUE!</v>
      </c>
      <c r="ED8" t="e">
        <f>AND('VEL-LECT'!Y39,"AAAAAF/vlYU=")</f>
        <v>#VALUE!</v>
      </c>
      <c r="EE8" t="e">
        <f>AND('VEL-LECT'!Z39,"AAAAAF/vlYY=")</f>
        <v>#VALUE!</v>
      </c>
      <c r="EF8" t="e">
        <f>AND('VEL-LECT'!AA39,"AAAAAF/vlYc=")</f>
        <v>#VALUE!</v>
      </c>
      <c r="EG8" t="e">
        <f>AND('VEL-LECT'!AB39,"AAAAAF/vlYg=")</f>
        <v>#VALUE!</v>
      </c>
      <c r="EH8" t="e">
        <f>AND('VEL-LECT'!AC39,"AAAAAF/vlYk=")</f>
        <v>#VALUE!</v>
      </c>
      <c r="EI8" t="e">
        <f>AND('VEL-LECT'!AD39,"AAAAAF/vlYo=")</f>
        <v>#VALUE!</v>
      </c>
      <c r="EJ8" t="e">
        <f>AND('VEL-LECT'!AE39,"AAAAAF/vlYs=")</f>
        <v>#VALUE!</v>
      </c>
      <c r="EK8" t="e">
        <f>AND('VEL-LECT'!AF39,"AAAAAF/vlYw=")</f>
        <v>#VALUE!</v>
      </c>
      <c r="EL8" t="e">
        <f>AND('VEL-LECT'!AG39,"AAAAAF/vlY0=")</f>
        <v>#VALUE!</v>
      </c>
      <c r="EM8" t="e">
        <f>AND('VEL-LECT'!AH39,"AAAAAF/vlY4=")</f>
        <v>#VALUE!</v>
      </c>
      <c r="EN8" t="e">
        <f>AND('VEL-LECT'!AI39,"AAAAAF/vlY8=")</f>
        <v>#VALUE!</v>
      </c>
      <c r="EO8" t="e">
        <f>AND('VEL-LECT'!AJ39,"AAAAAF/vlZA=")</f>
        <v>#VALUE!</v>
      </c>
      <c r="EP8" t="e">
        <f>AND('VEL-LECT'!AK39,"AAAAAF/vlZE=")</f>
        <v>#VALUE!</v>
      </c>
      <c r="EQ8" t="e">
        <f>AND('VEL-LECT'!AL39,"AAAAAF/vlZI=")</f>
        <v>#VALUE!</v>
      </c>
      <c r="ER8" t="e">
        <f>AND('VEL-LECT'!AM39,"AAAAAF/vlZM=")</f>
        <v>#VALUE!</v>
      </c>
      <c r="ES8" t="e">
        <f>AND('VEL-LECT'!AN39,"AAAAAF/vlZQ=")</f>
        <v>#VALUE!</v>
      </c>
      <c r="ET8" t="e">
        <f>AND('VEL-LECT'!AO39,"AAAAAF/vlZU=")</f>
        <v>#VALUE!</v>
      </c>
      <c r="EU8" t="e">
        <f>AND('VEL-LECT'!AP39,"AAAAAF/vlZY=")</f>
        <v>#VALUE!</v>
      </c>
      <c r="EV8" t="e">
        <f>AND('VEL-LECT'!AQ39,"AAAAAF/vlZc=")</f>
        <v>#VALUE!</v>
      </c>
      <c r="EW8" t="e">
        <f>AND('VEL-LECT'!AR39,"AAAAAF/vlZg=")</f>
        <v>#VALUE!</v>
      </c>
      <c r="EX8" t="e">
        <f>AND('VEL-LECT'!AS39,"AAAAAF/vlZk=")</f>
        <v>#VALUE!</v>
      </c>
      <c r="EY8" t="e">
        <f>AND('VEL-LECT'!AT39,"AAAAAF/vlZo=")</f>
        <v>#VALUE!</v>
      </c>
      <c r="EZ8" t="e">
        <f>AND('VEL-LECT'!AU39,"AAAAAF/vlZs=")</f>
        <v>#VALUE!</v>
      </c>
      <c r="FA8" t="e">
        <f>AND('VEL-LECT'!AV39,"AAAAAF/vlZw=")</f>
        <v>#VALUE!</v>
      </c>
      <c r="FB8" t="e">
        <f>AND('VEL-LECT'!AW39,"AAAAAF/vlZ0=")</f>
        <v>#VALUE!</v>
      </c>
      <c r="FC8">
        <f>IF('VEL-LECT'!40:40,"AAAAAF/vlZ4=",0)</f>
        <v>0</v>
      </c>
      <c r="FD8" t="e">
        <f>AND('VEL-LECT'!A40,"AAAAAF/vlZ8=")</f>
        <v>#VALUE!</v>
      </c>
      <c r="FE8" t="e">
        <f>AND('VEL-LECT'!B40,"AAAAAF/vlaA=")</f>
        <v>#VALUE!</v>
      </c>
      <c r="FF8" t="e">
        <f>AND('VEL-LECT'!C40,"AAAAAF/vlaE=")</f>
        <v>#VALUE!</v>
      </c>
      <c r="FG8" t="e">
        <f>AND('VEL-LECT'!D40,"AAAAAF/vlaI=")</f>
        <v>#VALUE!</v>
      </c>
      <c r="FH8" t="e">
        <f>AND('VEL-LECT'!E40,"AAAAAF/vlaM=")</f>
        <v>#VALUE!</v>
      </c>
      <c r="FI8" t="e">
        <f>AND('VEL-LECT'!F40,"AAAAAF/vlaQ=")</f>
        <v>#VALUE!</v>
      </c>
      <c r="FJ8" t="e">
        <f>AND('VEL-LECT'!G40,"AAAAAF/vlaU=")</f>
        <v>#VALUE!</v>
      </c>
      <c r="FK8" t="e">
        <f>AND('VEL-LECT'!H40,"AAAAAF/vlaY=")</f>
        <v>#VALUE!</v>
      </c>
      <c r="FL8" t="e">
        <f>AND('VEL-LECT'!I40,"AAAAAF/vlac=")</f>
        <v>#VALUE!</v>
      </c>
      <c r="FM8" t="e">
        <f>AND('VEL-LECT'!J40,"AAAAAF/vlag=")</f>
        <v>#VALUE!</v>
      </c>
      <c r="FN8" t="e">
        <f>AND('VEL-LECT'!K40,"AAAAAF/vlak=")</f>
        <v>#VALUE!</v>
      </c>
      <c r="FO8" t="e">
        <f>AND('VEL-LECT'!L40,"AAAAAF/vlao=")</f>
        <v>#VALUE!</v>
      </c>
      <c r="FP8" t="e">
        <f>AND('VEL-LECT'!M40,"AAAAAF/vlas=")</f>
        <v>#VALUE!</v>
      </c>
      <c r="FQ8" t="e">
        <f>AND('VEL-LECT'!N40,"AAAAAF/vlaw=")</f>
        <v>#VALUE!</v>
      </c>
      <c r="FR8" t="e">
        <f>AND('VEL-LECT'!O40,"AAAAAF/vla0=")</f>
        <v>#VALUE!</v>
      </c>
      <c r="FS8" t="e">
        <f>AND('VEL-LECT'!P40,"AAAAAF/vla4=")</f>
        <v>#VALUE!</v>
      </c>
      <c r="FT8" t="e">
        <f>AND('VEL-LECT'!Q40,"AAAAAF/vla8=")</f>
        <v>#VALUE!</v>
      </c>
      <c r="FU8" t="e">
        <f>AND('VEL-LECT'!R40,"AAAAAF/vlbA=")</f>
        <v>#VALUE!</v>
      </c>
      <c r="FV8" t="e">
        <f>AND('VEL-LECT'!S40,"AAAAAF/vlbE=")</f>
        <v>#VALUE!</v>
      </c>
      <c r="FW8" t="e">
        <f>AND('VEL-LECT'!T40,"AAAAAF/vlbI=")</f>
        <v>#VALUE!</v>
      </c>
      <c r="FX8" t="e">
        <f>AND('VEL-LECT'!U40,"AAAAAF/vlbM=")</f>
        <v>#VALUE!</v>
      </c>
      <c r="FY8" t="e">
        <f>AND('VEL-LECT'!V40,"AAAAAF/vlbQ=")</f>
        <v>#VALUE!</v>
      </c>
      <c r="FZ8" t="e">
        <f>AND('VEL-LECT'!W40,"AAAAAF/vlbU=")</f>
        <v>#VALUE!</v>
      </c>
      <c r="GA8" t="e">
        <f>AND('VEL-LECT'!X40,"AAAAAF/vlbY=")</f>
        <v>#VALUE!</v>
      </c>
      <c r="GB8" t="e">
        <f>AND('VEL-LECT'!Y40,"AAAAAF/vlbc=")</f>
        <v>#VALUE!</v>
      </c>
      <c r="GC8" t="e">
        <f>AND('VEL-LECT'!Z40,"AAAAAF/vlbg=")</f>
        <v>#VALUE!</v>
      </c>
      <c r="GD8" t="e">
        <f>AND('VEL-LECT'!AA40,"AAAAAF/vlbk=")</f>
        <v>#VALUE!</v>
      </c>
      <c r="GE8" t="e">
        <f>AND('VEL-LECT'!AB40,"AAAAAF/vlbo=")</f>
        <v>#VALUE!</v>
      </c>
      <c r="GF8" t="e">
        <f>AND('VEL-LECT'!AC40,"AAAAAF/vlbs=")</f>
        <v>#VALUE!</v>
      </c>
      <c r="GG8" t="e">
        <f>AND('VEL-LECT'!AD40,"AAAAAF/vlbw=")</f>
        <v>#VALUE!</v>
      </c>
      <c r="GH8" t="e">
        <f>AND('VEL-LECT'!AE40,"AAAAAF/vlb0=")</f>
        <v>#VALUE!</v>
      </c>
      <c r="GI8" t="e">
        <f>AND('VEL-LECT'!AF40,"AAAAAF/vlb4=")</f>
        <v>#VALUE!</v>
      </c>
      <c r="GJ8" t="e">
        <f>AND('VEL-LECT'!AG40,"AAAAAF/vlb8=")</f>
        <v>#VALUE!</v>
      </c>
      <c r="GK8" t="e">
        <f>AND('VEL-LECT'!AH40,"AAAAAF/vlcA=")</f>
        <v>#VALUE!</v>
      </c>
      <c r="GL8" t="e">
        <f>AND('VEL-LECT'!AI40,"AAAAAF/vlcE=")</f>
        <v>#VALUE!</v>
      </c>
      <c r="GM8" t="e">
        <f>AND('VEL-LECT'!AJ40,"AAAAAF/vlcI=")</f>
        <v>#VALUE!</v>
      </c>
      <c r="GN8" t="e">
        <f>AND('VEL-LECT'!AK40,"AAAAAF/vlcM=")</f>
        <v>#VALUE!</v>
      </c>
      <c r="GO8" t="e">
        <f>AND('VEL-LECT'!AL40,"AAAAAF/vlcQ=")</f>
        <v>#VALUE!</v>
      </c>
      <c r="GP8" t="e">
        <f>AND('VEL-LECT'!AM40,"AAAAAF/vlcU=")</f>
        <v>#VALUE!</v>
      </c>
      <c r="GQ8" t="e">
        <f>AND('VEL-LECT'!AN40,"AAAAAF/vlcY=")</f>
        <v>#VALUE!</v>
      </c>
      <c r="GR8" t="e">
        <f>AND('VEL-LECT'!AO40,"AAAAAF/vlcc=")</f>
        <v>#VALUE!</v>
      </c>
      <c r="GS8" t="e">
        <f>AND('VEL-LECT'!AP40,"AAAAAF/vlcg=")</f>
        <v>#VALUE!</v>
      </c>
      <c r="GT8" t="e">
        <f>AND('VEL-LECT'!AQ40,"AAAAAF/vlck=")</f>
        <v>#VALUE!</v>
      </c>
      <c r="GU8" t="e">
        <f>AND('VEL-LECT'!AR40,"AAAAAF/vlco=")</f>
        <v>#VALUE!</v>
      </c>
      <c r="GV8" t="e">
        <f>AND('VEL-LECT'!AS40,"AAAAAF/vlcs=")</f>
        <v>#VALUE!</v>
      </c>
      <c r="GW8" t="e">
        <f>AND('VEL-LECT'!AT40,"AAAAAF/vlcw=")</f>
        <v>#VALUE!</v>
      </c>
      <c r="GX8" t="e">
        <f>AND('VEL-LECT'!AU40,"AAAAAF/vlc0=")</f>
        <v>#VALUE!</v>
      </c>
      <c r="GY8" t="e">
        <f>AND('VEL-LECT'!AV40,"AAAAAF/vlc4=")</f>
        <v>#VALUE!</v>
      </c>
      <c r="GZ8" t="e">
        <f>AND('VEL-LECT'!AW40,"AAAAAF/vlc8=")</f>
        <v>#VALUE!</v>
      </c>
      <c r="HA8">
        <f>IF('VEL-LECT'!41:41,"AAAAAF/vldA=",0)</f>
        <v>0</v>
      </c>
      <c r="HB8" t="e">
        <f>AND('VEL-LECT'!A41,"AAAAAF/vldE=")</f>
        <v>#VALUE!</v>
      </c>
      <c r="HC8" t="e">
        <f>AND('VEL-LECT'!B41,"AAAAAF/vldI=")</f>
        <v>#VALUE!</v>
      </c>
      <c r="HD8" t="e">
        <f>AND('VEL-LECT'!C41,"AAAAAF/vldM=")</f>
        <v>#VALUE!</v>
      </c>
      <c r="HE8" t="e">
        <f>AND('VEL-LECT'!D41,"AAAAAF/vldQ=")</f>
        <v>#VALUE!</v>
      </c>
      <c r="HF8" t="e">
        <f>AND('VEL-LECT'!E41,"AAAAAF/vldU=")</f>
        <v>#VALUE!</v>
      </c>
      <c r="HG8" t="e">
        <f>AND('VEL-LECT'!F41,"AAAAAF/vldY=")</f>
        <v>#VALUE!</v>
      </c>
      <c r="HH8" t="e">
        <f>AND('VEL-LECT'!G41,"AAAAAF/vldc=")</f>
        <v>#VALUE!</v>
      </c>
      <c r="HI8" t="e">
        <f>AND('VEL-LECT'!H41,"AAAAAF/vldg=")</f>
        <v>#VALUE!</v>
      </c>
      <c r="HJ8" t="e">
        <f>AND('VEL-LECT'!I41,"AAAAAF/vldk=")</f>
        <v>#VALUE!</v>
      </c>
      <c r="HK8" t="e">
        <f>AND('VEL-LECT'!J41,"AAAAAF/vldo=")</f>
        <v>#VALUE!</v>
      </c>
      <c r="HL8" t="e">
        <f>AND('VEL-LECT'!K41,"AAAAAF/vlds=")</f>
        <v>#VALUE!</v>
      </c>
      <c r="HM8" t="e">
        <f>AND('VEL-LECT'!L41,"AAAAAF/vldw=")</f>
        <v>#VALUE!</v>
      </c>
      <c r="HN8" t="e">
        <f>AND('VEL-LECT'!M41,"AAAAAF/vld0=")</f>
        <v>#VALUE!</v>
      </c>
      <c r="HO8" t="e">
        <f>AND('VEL-LECT'!N41,"AAAAAF/vld4=")</f>
        <v>#VALUE!</v>
      </c>
      <c r="HP8" t="e">
        <f>AND('VEL-LECT'!O41,"AAAAAF/vld8=")</f>
        <v>#VALUE!</v>
      </c>
      <c r="HQ8" t="e">
        <f>AND('VEL-LECT'!P41,"AAAAAF/vleA=")</f>
        <v>#VALUE!</v>
      </c>
      <c r="HR8" t="e">
        <f>AND('VEL-LECT'!Q41,"AAAAAF/vleE=")</f>
        <v>#VALUE!</v>
      </c>
      <c r="HS8" t="e">
        <f>AND('VEL-LECT'!R41,"AAAAAF/vleI=")</f>
        <v>#VALUE!</v>
      </c>
      <c r="HT8" t="e">
        <f>AND('VEL-LECT'!S41,"AAAAAF/vleM=")</f>
        <v>#VALUE!</v>
      </c>
      <c r="HU8" t="e">
        <f>AND('VEL-LECT'!T41,"AAAAAF/vleQ=")</f>
        <v>#VALUE!</v>
      </c>
      <c r="HV8" t="e">
        <f>AND('VEL-LECT'!U41,"AAAAAF/vleU=")</f>
        <v>#VALUE!</v>
      </c>
      <c r="HW8" t="e">
        <f>AND('VEL-LECT'!V41,"AAAAAF/vleY=")</f>
        <v>#VALUE!</v>
      </c>
      <c r="HX8" t="e">
        <f>AND('VEL-LECT'!W41,"AAAAAF/vlec=")</f>
        <v>#VALUE!</v>
      </c>
      <c r="HY8" t="e">
        <f>AND('VEL-LECT'!X41,"AAAAAF/vleg=")</f>
        <v>#VALUE!</v>
      </c>
      <c r="HZ8" t="e">
        <f>AND('VEL-LECT'!Y41,"AAAAAF/vlek=")</f>
        <v>#VALUE!</v>
      </c>
      <c r="IA8" t="e">
        <f>AND('VEL-LECT'!Z41,"AAAAAF/vleo=")</f>
        <v>#VALUE!</v>
      </c>
      <c r="IB8" t="e">
        <f>AND('VEL-LECT'!AA41,"AAAAAF/vles=")</f>
        <v>#VALUE!</v>
      </c>
      <c r="IC8" t="e">
        <f>AND('VEL-LECT'!AB41,"AAAAAF/vlew=")</f>
        <v>#VALUE!</v>
      </c>
      <c r="ID8" t="e">
        <f>AND('VEL-LECT'!AC41,"AAAAAF/vle0=")</f>
        <v>#VALUE!</v>
      </c>
      <c r="IE8" t="e">
        <f>AND('VEL-LECT'!AD41,"AAAAAF/vle4=")</f>
        <v>#VALUE!</v>
      </c>
      <c r="IF8" t="e">
        <f>AND('VEL-LECT'!AE41,"AAAAAF/vle8=")</f>
        <v>#VALUE!</v>
      </c>
      <c r="IG8" t="e">
        <f>AND('VEL-LECT'!AF41,"AAAAAF/vlfA=")</f>
        <v>#VALUE!</v>
      </c>
      <c r="IH8" t="e">
        <f>AND('VEL-LECT'!AG41,"AAAAAF/vlfE=")</f>
        <v>#VALUE!</v>
      </c>
      <c r="II8" t="e">
        <f>AND('VEL-LECT'!AH41,"AAAAAF/vlfI=")</f>
        <v>#VALUE!</v>
      </c>
      <c r="IJ8" t="e">
        <f>AND('VEL-LECT'!AI41,"AAAAAF/vlfM=")</f>
        <v>#VALUE!</v>
      </c>
      <c r="IK8" t="e">
        <f>AND('VEL-LECT'!AJ41,"AAAAAF/vlfQ=")</f>
        <v>#VALUE!</v>
      </c>
      <c r="IL8" t="e">
        <f>AND('VEL-LECT'!AK41,"AAAAAF/vlfU=")</f>
        <v>#VALUE!</v>
      </c>
      <c r="IM8" t="e">
        <f>AND('VEL-LECT'!AL41,"AAAAAF/vlfY=")</f>
        <v>#VALUE!</v>
      </c>
      <c r="IN8" t="e">
        <f>AND('VEL-LECT'!AM41,"AAAAAF/vlfc=")</f>
        <v>#VALUE!</v>
      </c>
      <c r="IO8" t="e">
        <f>AND('VEL-LECT'!AN41,"AAAAAF/vlfg=")</f>
        <v>#VALUE!</v>
      </c>
      <c r="IP8" t="e">
        <f>AND('VEL-LECT'!AO41,"AAAAAF/vlfk=")</f>
        <v>#VALUE!</v>
      </c>
      <c r="IQ8" t="e">
        <f>AND('VEL-LECT'!AP41,"AAAAAF/vlfo=")</f>
        <v>#VALUE!</v>
      </c>
      <c r="IR8" t="e">
        <f>AND('VEL-LECT'!AQ41,"AAAAAF/vlfs=")</f>
        <v>#VALUE!</v>
      </c>
      <c r="IS8" t="e">
        <f>AND('VEL-LECT'!AR41,"AAAAAF/vlfw=")</f>
        <v>#VALUE!</v>
      </c>
      <c r="IT8" t="e">
        <f>AND('VEL-LECT'!AS41,"AAAAAF/vlf0=")</f>
        <v>#VALUE!</v>
      </c>
      <c r="IU8" t="e">
        <f>AND('VEL-LECT'!AT41,"AAAAAF/vlf4=")</f>
        <v>#VALUE!</v>
      </c>
      <c r="IV8" t="e">
        <f>AND('VEL-LECT'!AU41,"AAAAAF/vlf8=")</f>
        <v>#VALUE!</v>
      </c>
    </row>
    <row r="9" spans="1:256" ht="15">
      <c r="A9" t="e">
        <f>AND('VEL-LECT'!AV41,"AAAAAHTzfwA=")</f>
        <v>#VALUE!</v>
      </c>
      <c r="B9" t="e">
        <f>AND('VEL-LECT'!AW41,"AAAAAHTzfwE=")</f>
        <v>#VALUE!</v>
      </c>
      <c r="C9">
        <f>IF('VEL-LECT'!42:42,"AAAAAHTzfwI=",0)</f>
        <v>0</v>
      </c>
      <c r="D9" t="e">
        <f>AND('VEL-LECT'!A42,"AAAAAHTzfwM=")</f>
        <v>#VALUE!</v>
      </c>
      <c r="E9" t="e">
        <f>AND('VEL-LECT'!B42,"AAAAAHTzfwQ=")</f>
        <v>#VALUE!</v>
      </c>
      <c r="F9" t="e">
        <f>AND('VEL-LECT'!C42,"AAAAAHTzfwU=")</f>
        <v>#VALUE!</v>
      </c>
      <c r="G9" t="e">
        <f>AND('VEL-LECT'!D42,"AAAAAHTzfwY=")</f>
        <v>#VALUE!</v>
      </c>
      <c r="H9" t="e">
        <f>AND('VEL-LECT'!E42,"AAAAAHTzfwc=")</f>
        <v>#VALUE!</v>
      </c>
      <c r="I9" t="e">
        <f>AND('VEL-LECT'!F42,"AAAAAHTzfwg=")</f>
        <v>#VALUE!</v>
      </c>
      <c r="J9" t="e">
        <f>AND('VEL-LECT'!G42,"AAAAAHTzfwk=")</f>
        <v>#VALUE!</v>
      </c>
      <c r="K9" t="e">
        <f>AND('VEL-LECT'!H42,"AAAAAHTzfwo=")</f>
        <v>#VALUE!</v>
      </c>
      <c r="L9" t="e">
        <f>AND('VEL-LECT'!I42,"AAAAAHTzfws=")</f>
        <v>#VALUE!</v>
      </c>
      <c r="M9" t="e">
        <f>AND('VEL-LECT'!J42,"AAAAAHTzfww=")</f>
        <v>#VALUE!</v>
      </c>
      <c r="N9" t="e">
        <f>AND('VEL-LECT'!K42,"AAAAAHTzfw0=")</f>
        <v>#VALUE!</v>
      </c>
      <c r="O9" t="e">
        <f>AND('VEL-LECT'!L42,"AAAAAHTzfw4=")</f>
        <v>#VALUE!</v>
      </c>
      <c r="P9" t="e">
        <f>AND('VEL-LECT'!M42,"AAAAAHTzfw8=")</f>
        <v>#VALUE!</v>
      </c>
      <c r="Q9" t="e">
        <f>AND('VEL-LECT'!N42,"AAAAAHTzfxA=")</f>
        <v>#VALUE!</v>
      </c>
      <c r="R9" t="e">
        <f>AND('VEL-LECT'!O42,"AAAAAHTzfxE=")</f>
        <v>#VALUE!</v>
      </c>
      <c r="S9" t="e">
        <f>AND('VEL-LECT'!P42,"AAAAAHTzfxI=")</f>
        <v>#VALUE!</v>
      </c>
      <c r="T9" t="e">
        <f>AND('VEL-LECT'!Q42,"AAAAAHTzfxM=")</f>
        <v>#VALUE!</v>
      </c>
      <c r="U9" t="e">
        <f>AND('VEL-LECT'!R42,"AAAAAHTzfxQ=")</f>
        <v>#VALUE!</v>
      </c>
      <c r="V9" t="e">
        <f>AND('VEL-LECT'!S42,"AAAAAHTzfxU=")</f>
        <v>#VALUE!</v>
      </c>
      <c r="W9" t="e">
        <f>AND('VEL-LECT'!T42,"AAAAAHTzfxY=")</f>
        <v>#VALUE!</v>
      </c>
      <c r="X9" t="e">
        <f>AND('VEL-LECT'!U42,"AAAAAHTzfxc=")</f>
        <v>#VALUE!</v>
      </c>
      <c r="Y9" t="e">
        <f>AND('VEL-LECT'!V42,"AAAAAHTzfxg=")</f>
        <v>#VALUE!</v>
      </c>
      <c r="Z9" t="e">
        <f>AND('VEL-LECT'!W42,"AAAAAHTzfxk=")</f>
        <v>#VALUE!</v>
      </c>
      <c r="AA9" t="e">
        <f>AND('VEL-LECT'!X42,"AAAAAHTzfxo=")</f>
        <v>#VALUE!</v>
      </c>
      <c r="AB9" t="e">
        <f>AND('VEL-LECT'!Y42,"AAAAAHTzfxs=")</f>
        <v>#VALUE!</v>
      </c>
      <c r="AC9" t="e">
        <f>AND('VEL-LECT'!Z42,"AAAAAHTzfxw=")</f>
        <v>#VALUE!</v>
      </c>
      <c r="AD9" t="e">
        <f>AND('VEL-LECT'!AA42,"AAAAAHTzfx0=")</f>
        <v>#VALUE!</v>
      </c>
      <c r="AE9" t="e">
        <f>AND('VEL-LECT'!AB42,"AAAAAHTzfx4=")</f>
        <v>#VALUE!</v>
      </c>
      <c r="AF9" t="e">
        <f>AND('VEL-LECT'!AC42,"AAAAAHTzfx8=")</f>
        <v>#VALUE!</v>
      </c>
      <c r="AG9" t="e">
        <f>AND('VEL-LECT'!AD42,"AAAAAHTzfyA=")</f>
        <v>#VALUE!</v>
      </c>
      <c r="AH9" t="e">
        <f>AND('VEL-LECT'!AE42,"AAAAAHTzfyE=")</f>
        <v>#VALUE!</v>
      </c>
      <c r="AI9" t="e">
        <f>AND('VEL-LECT'!AF42,"AAAAAHTzfyI=")</f>
        <v>#VALUE!</v>
      </c>
      <c r="AJ9" t="e">
        <f>AND('VEL-LECT'!AG42,"AAAAAHTzfyM=")</f>
        <v>#VALUE!</v>
      </c>
      <c r="AK9" t="e">
        <f>AND('VEL-LECT'!AH42,"AAAAAHTzfyQ=")</f>
        <v>#VALUE!</v>
      </c>
      <c r="AL9" t="e">
        <f>AND('VEL-LECT'!AI42,"AAAAAHTzfyU=")</f>
        <v>#VALUE!</v>
      </c>
      <c r="AM9" t="e">
        <f>AND('VEL-LECT'!AJ42,"AAAAAHTzfyY=")</f>
        <v>#VALUE!</v>
      </c>
      <c r="AN9" t="e">
        <f>AND('VEL-LECT'!AK42,"AAAAAHTzfyc=")</f>
        <v>#VALUE!</v>
      </c>
      <c r="AO9" t="e">
        <f>AND('VEL-LECT'!AL42,"AAAAAHTzfyg=")</f>
        <v>#VALUE!</v>
      </c>
      <c r="AP9" t="e">
        <f>AND('VEL-LECT'!AM42,"AAAAAHTzfyk=")</f>
        <v>#VALUE!</v>
      </c>
      <c r="AQ9" t="e">
        <f>AND('VEL-LECT'!AN42,"AAAAAHTzfyo=")</f>
        <v>#VALUE!</v>
      </c>
      <c r="AR9" t="e">
        <f>AND('VEL-LECT'!AO42,"AAAAAHTzfys=")</f>
        <v>#VALUE!</v>
      </c>
      <c r="AS9" t="e">
        <f>AND('VEL-LECT'!AP42,"AAAAAHTzfyw=")</f>
        <v>#VALUE!</v>
      </c>
      <c r="AT9" t="e">
        <f>AND('VEL-LECT'!AQ42,"AAAAAHTzfy0=")</f>
        <v>#VALUE!</v>
      </c>
      <c r="AU9" t="e">
        <f>AND('VEL-LECT'!AR42,"AAAAAHTzfy4=")</f>
        <v>#VALUE!</v>
      </c>
      <c r="AV9" t="e">
        <f>AND('VEL-LECT'!AS42,"AAAAAHTzfy8=")</f>
        <v>#VALUE!</v>
      </c>
      <c r="AW9" t="e">
        <f>AND('VEL-LECT'!AT42,"AAAAAHTzfzA=")</f>
        <v>#VALUE!</v>
      </c>
      <c r="AX9" t="e">
        <f>AND('VEL-LECT'!AU42,"AAAAAHTzfzE=")</f>
        <v>#VALUE!</v>
      </c>
      <c r="AY9" t="e">
        <f>AND('VEL-LECT'!AV42,"AAAAAHTzfzI=")</f>
        <v>#VALUE!</v>
      </c>
      <c r="AZ9" t="e">
        <f>AND('VEL-LECT'!AW42,"AAAAAHTzfzM=")</f>
        <v>#VALUE!</v>
      </c>
      <c r="BA9">
        <f>IF('VEL-LECT'!43:43,"AAAAAHTzfzQ=",0)</f>
        <v>0</v>
      </c>
      <c r="BB9" t="e">
        <f>AND('VEL-LECT'!A43,"AAAAAHTzfzU=")</f>
        <v>#VALUE!</v>
      </c>
      <c r="BC9" t="e">
        <f>AND('VEL-LECT'!B43,"AAAAAHTzfzY=")</f>
        <v>#VALUE!</v>
      </c>
      <c r="BD9" t="e">
        <f>AND('VEL-LECT'!C43,"AAAAAHTzfzc=")</f>
        <v>#VALUE!</v>
      </c>
      <c r="BE9" t="e">
        <f>AND('VEL-LECT'!D43,"AAAAAHTzfzg=")</f>
        <v>#VALUE!</v>
      </c>
      <c r="BF9" t="e">
        <f>AND('VEL-LECT'!E43,"AAAAAHTzfzk=")</f>
        <v>#VALUE!</v>
      </c>
      <c r="BG9" t="e">
        <f>AND('VEL-LECT'!F43,"AAAAAHTzfzo=")</f>
        <v>#VALUE!</v>
      </c>
      <c r="BH9" t="e">
        <f>AND('VEL-LECT'!G43,"AAAAAHTzfzs=")</f>
        <v>#VALUE!</v>
      </c>
      <c r="BI9" t="e">
        <f>AND('VEL-LECT'!H43,"AAAAAHTzfzw=")</f>
        <v>#VALUE!</v>
      </c>
      <c r="BJ9" t="e">
        <f>AND('VEL-LECT'!I43,"AAAAAHTzfz0=")</f>
        <v>#VALUE!</v>
      </c>
      <c r="BK9" t="e">
        <f>AND('VEL-LECT'!J43,"AAAAAHTzfz4=")</f>
        <v>#VALUE!</v>
      </c>
      <c r="BL9" t="e">
        <f>AND('VEL-LECT'!K43,"AAAAAHTzfz8=")</f>
        <v>#VALUE!</v>
      </c>
      <c r="BM9" t="e">
        <f>AND('VEL-LECT'!L43,"AAAAAHTzf0A=")</f>
        <v>#VALUE!</v>
      </c>
      <c r="BN9" t="e">
        <f>AND('VEL-LECT'!M43,"AAAAAHTzf0E=")</f>
        <v>#VALUE!</v>
      </c>
      <c r="BO9" t="e">
        <f>AND('VEL-LECT'!N43,"AAAAAHTzf0I=")</f>
        <v>#VALUE!</v>
      </c>
      <c r="BP9" t="e">
        <f>AND('VEL-LECT'!O43,"AAAAAHTzf0M=")</f>
        <v>#VALUE!</v>
      </c>
      <c r="BQ9" t="e">
        <f>AND('VEL-LECT'!P43,"AAAAAHTzf0Q=")</f>
        <v>#VALUE!</v>
      </c>
      <c r="BR9" t="e">
        <f>AND('VEL-LECT'!Q43,"AAAAAHTzf0U=")</f>
        <v>#VALUE!</v>
      </c>
      <c r="BS9" t="e">
        <f>AND('VEL-LECT'!R43,"AAAAAHTzf0Y=")</f>
        <v>#VALUE!</v>
      </c>
      <c r="BT9" t="e">
        <f>AND('VEL-LECT'!S43,"AAAAAHTzf0c=")</f>
        <v>#VALUE!</v>
      </c>
      <c r="BU9" t="e">
        <f>AND('VEL-LECT'!T43,"AAAAAHTzf0g=")</f>
        <v>#VALUE!</v>
      </c>
      <c r="BV9" t="e">
        <f>AND('VEL-LECT'!U43,"AAAAAHTzf0k=")</f>
        <v>#VALUE!</v>
      </c>
      <c r="BW9" t="e">
        <f>AND('VEL-LECT'!V43,"AAAAAHTzf0o=")</f>
        <v>#VALUE!</v>
      </c>
      <c r="BX9" t="e">
        <f>AND('VEL-LECT'!W43,"AAAAAHTzf0s=")</f>
        <v>#VALUE!</v>
      </c>
      <c r="BY9" t="e">
        <f>AND('VEL-LECT'!X43,"AAAAAHTzf0w=")</f>
        <v>#VALUE!</v>
      </c>
      <c r="BZ9" t="e">
        <f>AND('VEL-LECT'!Y43,"AAAAAHTzf00=")</f>
        <v>#VALUE!</v>
      </c>
      <c r="CA9" t="e">
        <f>AND('VEL-LECT'!Z43,"AAAAAHTzf04=")</f>
        <v>#VALUE!</v>
      </c>
      <c r="CB9" t="e">
        <f>AND('VEL-LECT'!AA43,"AAAAAHTzf08=")</f>
        <v>#VALUE!</v>
      </c>
      <c r="CC9" t="e">
        <f>AND('VEL-LECT'!AB43,"AAAAAHTzf1A=")</f>
        <v>#VALUE!</v>
      </c>
      <c r="CD9" t="e">
        <f>AND('VEL-LECT'!AC43,"AAAAAHTzf1E=")</f>
        <v>#VALUE!</v>
      </c>
      <c r="CE9" t="e">
        <f>AND('VEL-LECT'!AD43,"AAAAAHTzf1I=")</f>
        <v>#VALUE!</v>
      </c>
      <c r="CF9" t="e">
        <f>AND('VEL-LECT'!AE43,"AAAAAHTzf1M=")</f>
        <v>#VALUE!</v>
      </c>
      <c r="CG9" t="e">
        <f>AND('VEL-LECT'!AF43,"AAAAAHTzf1Q=")</f>
        <v>#VALUE!</v>
      </c>
      <c r="CH9" t="e">
        <f>AND('VEL-LECT'!AG43,"AAAAAHTzf1U=")</f>
        <v>#VALUE!</v>
      </c>
      <c r="CI9" t="e">
        <f>AND('VEL-LECT'!AH43,"AAAAAHTzf1Y=")</f>
        <v>#VALUE!</v>
      </c>
      <c r="CJ9" t="e">
        <f>AND('VEL-LECT'!AI43,"AAAAAHTzf1c=")</f>
        <v>#VALUE!</v>
      </c>
      <c r="CK9" t="e">
        <f>AND('VEL-LECT'!AJ43,"AAAAAHTzf1g=")</f>
        <v>#VALUE!</v>
      </c>
      <c r="CL9" t="e">
        <f>AND('VEL-LECT'!AK43,"AAAAAHTzf1k=")</f>
        <v>#VALUE!</v>
      </c>
      <c r="CM9" t="e">
        <f>AND('VEL-LECT'!AL43,"AAAAAHTzf1o=")</f>
        <v>#VALUE!</v>
      </c>
      <c r="CN9" t="e">
        <f>AND('VEL-LECT'!AM43,"AAAAAHTzf1s=")</f>
        <v>#VALUE!</v>
      </c>
      <c r="CO9" t="e">
        <f>AND('VEL-LECT'!AN43,"AAAAAHTzf1w=")</f>
        <v>#VALUE!</v>
      </c>
      <c r="CP9" t="e">
        <f>AND('VEL-LECT'!AO43,"AAAAAHTzf10=")</f>
        <v>#VALUE!</v>
      </c>
      <c r="CQ9" t="e">
        <f>AND('VEL-LECT'!AP43,"AAAAAHTzf14=")</f>
        <v>#VALUE!</v>
      </c>
      <c r="CR9" t="e">
        <f>AND('VEL-LECT'!AQ43,"AAAAAHTzf18=")</f>
        <v>#VALUE!</v>
      </c>
      <c r="CS9" t="e">
        <f>AND('VEL-LECT'!AR43,"AAAAAHTzf2A=")</f>
        <v>#VALUE!</v>
      </c>
      <c r="CT9" t="e">
        <f>AND('VEL-LECT'!AS43,"AAAAAHTzf2E=")</f>
        <v>#VALUE!</v>
      </c>
      <c r="CU9" t="e">
        <f>AND('VEL-LECT'!AT43,"AAAAAHTzf2I=")</f>
        <v>#VALUE!</v>
      </c>
      <c r="CV9" t="e">
        <f>AND('VEL-LECT'!AU43,"AAAAAHTzf2M=")</f>
        <v>#VALUE!</v>
      </c>
      <c r="CW9" t="e">
        <f>AND('VEL-LECT'!AV43,"AAAAAHTzf2Q=")</f>
        <v>#VALUE!</v>
      </c>
      <c r="CX9" t="e">
        <f>AND('VEL-LECT'!AW43,"AAAAAHTzf2U=")</f>
        <v>#VALUE!</v>
      </c>
      <c r="CY9">
        <f>IF('VEL-LECT'!44:44,"AAAAAHTzf2Y=",0)</f>
        <v>0</v>
      </c>
      <c r="CZ9" t="e">
        <f>AND('VEL-LECT'!A44,"AAAAAHTzf2c=")</f>
        <v>#VALUE!</v>
      </c>
      <c r="DA9" t="e">
        <f>AND('VEL-LECT'!B44,"AAAAAHTzf2g=")</f>
        <v>#VALUE!</v>
      </c>
      <c r="DB9" t="e">
        <f>AND('VEL-LECT'!C44,"AAAAAHTzf2k=")</f>
        <v>#VALUE!</v>
      </c>
      <c r="DC9" t="e">
        <f>AND('VEL-LECT'!D44,"AAAAAHTzf2o=")</f>
        <v>#VALUE!</v>
      </c>
      <c r="DD9" t="e">
        <f>AND('VEL-LECT'!E44,"AAAAAHTzf2s=")</f>
        <v>#VALUE!</v>
      </c>
      <c r="DE9" t="e">
        <f>AND('VEL-LECT'!F44,"AAAAAHTzf2w=")</f>
        <v>#VALUE!</v>
      </c>
      <c r="DF9" t="e">
        <f>AND('VEL-LECT'!G44,"AAAAAHTzf20=")</f>
        <v>#VALUE!</v>
      </c>
      <c r="DG9" t="e">
        <f>AND('VEL-LECT'!H44,"AAAAAHTzf24=")</f>
        <v>#VALUE!</v>
      </c>
      <c r="DH9" t="e">
        <f>AND('VEL-LECT'!I44,"AAAAAHTzf28=")</f>
        <v>#VALUE!</v>
      </c>
      <c r="DI9" t="e">
        <f>AND('VEL-LECT'!J44,"AAAAAHTzf3A=")</f>
        <v>#VALUE!</v>
      </c>
      <c r="DJ9" t="e">
        <f>AND('VEL-LECT'!K44,"AAAAAHTzf3E=")</f>
        <v>#VALUE!</v>
      </c>
      <c r="DK9" t="e">
        <f>AND('VEL-LECT'!L44,"AAAAAHTzf3I=")</f>
        <v>#VALUE!</v>
      </c>
      <c r="DL9" t="e">
        <f>AND('VEL-LECT'!M44,"AAAAAHTzf3M=")</f>
        <v>#VALUE!</v>
      </c>
      <c r="DM9" t="e">
        <f>AND('VEL-LECT'!N44,"AAAAAHTzf3Q=")</f>
        <v>#VALUE!</v>
      </c>
      <c r="DN9" t="e">
        <f>AND('VEL-LECT'!O44,"AAAAAHTzf3U=")</f>
        <v>#VALUE!</v>
      </c>
      <c r="DO9" t="e">
        <f>AND('VEL-LECT'!P44,"AAAAAHTzf3Y=")</f>
        <v>#VALUE!</v>
      </c>
      <c r="DP9" t="e">
        <f>AND('VEL-LECT'!Q44,"AAAAAHTzf3c=")</f>
        <v>#VALUE!</v>
      </c>
      <c r="DQ9" t="e">
        <f>AND('VEL-LECT'!R44,"AAAAAHTzf3g=")</f>
        <v>#VALUE!</v>
      </c>
      <c r="DR9" t="e">
        <f>AND('VEL-LECT'!S44,"AAAAAHTzf3k=")</f>
        <v>#VALUE!</v>
      </c>
      <c r="DS9" t="e">
        <f>AND('VEL-LECT'!T44,"AAAAAHTzf3o=")</f>
        <v>#VALUE!</v>
      </c>
      <c r="DT9" t="e">
        <f>AND('VEL-LECT'!U44,"AAAAAHTzf3s=")</f>
        <v>#VALUE!</v>
      </c>
      <c r="DU9" t="e">
        <f>AND('VEL-LECT'!V44,"AAAAAHTzf3w=")</f>
        <v>#VALUE!</v>
      </c>
      <c r="DV9" t="e">
        <f>AND('VEL-LECT'!W44,"AAAAAHTzf30=")</f>
        <v>#VALUE!</v>
      </c>
      <c r="DW9" t="e">
        <f>AND('VEL-LECT'!X44,"AAAAAHTzf34=")</f>
        <v>#VALUE!</v>
      </c>
      <c r="DX9" t="e">
        <f>AND('VEL-LECT'!Y44,"AAAAAHTzf38=")</f>
        <v>#VALUE!</v>
      </c>
      <c r="DY9" t="e">
        <f>AND('VEL-LECT'!Z44,"AAAAAHTzf4A=")</f>
        <v>#VALUE!</v>
      </c>
      <c r="DZ9" t="e">
        <f>AND('VEL-LECT'!AA44,"AAAAAHTzf4E=")</f>
        <v>#VALUE!</v>
      </c>
      <c r="EA9" t="e">
        <f>AND('VEL-LECT'!AB44,"AAAAAHTzf4I=")</f>
        <v>#VALUE!</v>
      </c>
      <c r="EB9" t="e">
        <f>AND('VEL-LECT'!AC44,"AAAAAHTzf4M=")</f>
        <v>#VALUE!</v>
      </c>
      <c r="EC9" t="e">
        <f>AND('VEL-LECT'!AD44,"AAAAAHTzf4Q=")</f>
        <v>#VALUE!</v>
      </c>
      <c r="ED9" t="e">
        <f>AND('VEL-LECT'!AE44,"AAAAAHTzf4U=")</f>
        <v>#VALUE!</v>
      </c>
      <c r="EE9" t="e">
        <f>AND('VEL-LECT'!AF44,"AAAAAHTzf4Y=")</f>
        <v>#VALUE!</v>
      </c>
      <c r="EF9" t="e">
        <f>AND('VEL-LECT'!AG44,"AAAAAHTzf4c=")</f>
        <v>#VALUE!</v>
      </c>
      <c r="EG9" t="e">
        <f>AND('VEL-LECT'!AH44,"AAAAAHTzf4g=")</f>
        <v>#VALUE!</v>
      </c>
      <c r="EH9" t="e">
        <f>AND('VEL-LECT'!AI44,"AAAAAHTzf4k=")</f>
        <v>#VALUE!</v>
      </c>
      <c r="EI9" t="e">
        <f>AND('VEL-LECT'!AJ44,"AAAAAHTzf4o=")</f>
        <v>#VALUE!</v>
      </c>
      <c r="EJ9" t="e">
        <f>AND('VEL-LECT'!AK44,"AAAAAHTzf4s=")</f>
        <v>#VALUE!</v>
      </c>
      <c r="EK9" t="e">
        <f>AND('VEL-LECT'!AL44,"AAAAAHTzf4w=")</f>
        <v>#VALUE!</v>
      </c>
      <c r="EL9" t="e">
        <f>AND('VEL-LECT'!AM44,"AAAAAHTzf40=")</f>
        <v>#VALUE!</v>
      </c>
      <c r="EM9" t="e">
        <f>AND('VEL-LECT'!AN44,"AAAAAHTzf44=")</f>
        <v>#VALUE!</v>
      </c>
      <c r="EN9" t="e">
        <f>AND('VEL-LECT'!AO44,"AAAAAHTzf48=")</f>
        <v>#VALUE!</v>
      </c>
      <c r="EO9" t="e">
        <f>AND('VEL-LECT'!AP44,"AAAAAHTzf5A=")</f>
        <v>#VALUE!</v>
      </c>
      <c r="EP9" t="e">
        <f>AND('VEL-LECT'!AQ44,"AAAAAHTzf5E=")</f>
        <v>#VALUE!</v>
      </c>
      <c r="EQ9" t="e">
        <f>AND('VEL-LECT'!AR44,"AAAAAHTzf5I=")</f>
        <v>#VALUE!</v>
      </c>
      <c r="ER9" t="e">
        <f>AND('VEL-LECT'!AS44,"AAAAAHTzf5M=")</f>
        <v>#VALUE!</v>
      </c>
      <c r="ES9" t="e">
        <f>AND('VEL-LECT'!AT44,"AAAAAHTzf5Q=")</f>
        <v>#VALUE!</v>
      </c>
      <c r="ET9" t="e">
        <f>AND('VEL-LECT'!AU44,"AAAAAHTzf5U=")</f>
        <v>#VALUE!</v>
      </c>
      <c r="EU9" t="e">
        <f>AND('VEL-LECT'!AV44,"AAAAAHTzf5Y=")</f>
        <v>#VALUE!</v>
      </c>
      <c r="EV9" t="e">
        <f>AND('VEL-LECT'!AW44,"AAAAAHTzf5c=")</f>
        <v>#VALUE!</v>
      </c>
      <c r="EW9">
        <f>IF('VEL-LECT'!45:45,"AAAAAHTzf5g=",0)</f>
        <v>0</v>
      </c>
      <c r="EX9" t="e">
        <f>AND('VEL-LECT'!A45,"AAAAAHTzf5k=")</f>
        <v>#VALUE!</v>
      </c>
      <c r="EY9" t="e">
        <f>AND('VEL-LECT'!B45,"AAAAAHTzf5o=")</f>
        <v>#VALUE!</v>
      </c>
      <c r="EZ9" t="e">
        <f>AND('VEL-LECT'!C45,"AAAAAHTzf5s=")</f>
        <v>#VALUE!</v>
      </c>
      <c r="FA9" t="e">
        <f>AND('VEL-LECT'!D45,"AAAAAHTzf5w=")</f>
        <v>#VALUE!</v>
      </c>
      <c r="FB9" t="e">
        <f>AND('VEL-LECT'!E45,"AAAAAHTzf50=")</f>
        <v>#VALUE!</v>
      </c>
      <c r="FC9" t="e">
        <f>AND('VEL-LECT'!F45,"AAAAAHTzf54=")</f>
        <v>#VALUE!</v>
      </c>
      <c r="FD9" t="e">
        <f>AND('VEL-LECT'!G45,"AAAAAHTzf58=")</f>
        <v>#VALUE!</v>
      </c>
      <c r="FE9" t="e">
        <f>AND('VEL-LECT'!H45,"AAAAAHTzf6A=")</f>
        <v>#VALUE!</v>
      </c>
      <c r="FF9" t="e">
        <f>AND('VEL-LECT'!I45,"AAAAAHTzf6E=")</f>
        <v>#VALUE!</v>
      </c>
      <c r="FG9" t="e">
        <f>AND('VEL-LECT'!J45,"AAAAAHTzf6I=")</f>
        <v>#VALUE!</v>
      </c>
      <c r="FH9" t="e">
        <f>AND('VEL-LECT'!K45,"AAAAAHTzf6M=")</f>
        <v>#VALUE!</v>
      </c>
      <c r="FI9" t="e">
        <f>AND('VEL-LECT'!L45,"AAAAAHTzf6Q=")</f>
        <v>#VALUE!</v>
      </c>
      <c r="FJ9" t="e">
        <f>AND('VEL-LECT'!M45,"AAAAAHTzf6U=")</f>
        <v>#VALUE!</v>
      </c>
      <c r="FK9" t="e">
        <f>AND('VEL-LECT'!N45,"AAAAAHTzf6Y=")</f>
        <v>#VALUE!</v>
      </c>
      <c r="FL9" t="e">
        <f>AND('VEL-LECT'!O45,"AAAAAHTzf6c=")</f>
        <v>#VALUE!</v>
      </c>
      <c r="FM9" t="e">
        <f>AND('VEL-LECT'!P45,"AAAAAHTzf6g=")</f>
        <v>#VALUE!</v>
      </c>
      <c r="FN9" t="e">
        <f>AND('VEL-LECT'!Q45,"AAAAAHTzf6k=")</f>
        <v>#VALUE!</v>
      </c>
      <c r="FO9" t="e">
        <f>AND('VEL-LECT'!R45,"AAAAAHTzf6o=")</f>
        <v>#VALUE!</v>
      </c>
      <c r="FP9" t="e">
        <f>AND('VEL-LECT'!S45,"AAAAAHTzf6s=")</f>
        <v>#VALUE!</v>
      </c>
      <c r="FQ9" t="e">
        <f>AND('VEL-LECT'!T45,"AAAAAHTzf6w=")</f>
        <v>#VALUE!</v>
      </c>
      <c r="FR9" t="e">
        <f>AND('VEL-LECT'!U45,"AAAAAHTzf60=")</f>
        <v>#VALUE!</v>
      </c>
      <c r="FS9" t="e">
        <f>AND('VEL-LECT'!V45,"AAAAAHTzf64=")</f>
        <v>#VALUE!</v>
      </c>
      <c r="FT9" t="e">
        <f>AND('VEL-LECT'!W45,"AAAAAHTzf68=")</f>
        <v>#VALUE!</v>
      </c>
      <c r="FU9" t="e">
        <f>AND('VEL-LECT'!X45,"AAAAAHTzf7A=")</f>
        <v>#VALUE!</v>
      </c>
      <c r="FV9" t="e">
        <f>AND('VEL-LECT'!Y45,"AAAAAHTzf7E=")</f>
        <v>#VALUE!</v>
      </c>
      <c r="FW9" t="e">
        <f>AND('VEL-LECT'!Z45,"AAAAAHTzf7I=")</f>
        <v>#VALUE!</v>
      </c>
      <c r="FX9" t="e">
        <f>AND('VEL-LECT'!AA45,"AAAAAHTzf7M=")</f>
        <v>#VALUE!</v>
      </c>
      <c r="FY9" t="e">
        <f>AND('VEL-LECT'!AB45,"AAAAAHTzf7Q=")</f>
        <v>#VALUE!</v>
      </c>
      <c r="FZ9" t="e">
        <f>AND('VEL-LECT'!AC45,"AAAAAHTzf7U=")</f>
        <v>#VALUE!</v>
      </c>
      <c r="GA9" t="e">
        <f>AND('VEL-LECT'!AD45,"AAAAAHTzf7Y=")</f>
        <v>#VALUE!</v>
      </c>
      <c r="GB9" t="e">
        <f>AND('VEL-LECT'!AE45,"AAAAAHTzf7c=")</f>
        <v>#VALUE!</v>
      </c>
      <c r="GC9" t="e">
        <f>AND('VEL-LECT'!AF45,"AAAAAHTzf7g=")</f>
        <v>#VALUE!</v>
      </c>
      <c r="GD9" t="e">
        <f>AND('VEL-LECT'!AG45,"AAAAAHTzf7k=")</f>
        <v>#VALUE!</v>
      </c>
      <c r="GE9" t="e">
        <f>AND('VEL-LECT'!AH45,"AAAAAHTzf7o=")</f>
        <v>#VALUE!</v>
      </c>
      <c r="GF9" t="e">
        <f>AND('VEL-LECT'!AI45,"AAAAAHTzf7s=")</f>
        <v>#VALUE!</v>
      </c>
      <c r="GG9" t="e">
        <f>AND('VEL-LECT'!AJ45,"AAAAAHTzf7w=")</f>
        <v>#VALUE!</v>
      </c>
      <c r="GH9" t="e">
        <f>AND('VEL-LECT'!AK45,"AAAAAHTzf70=")</f>
        <v>#VALUE!</v>
      </c>
      <c r="GI9" t="e">
        <f>AND('VEL-LECT'!AL45,"AAAAAHTzf74=")</f>
        <v>#VALUE!</v>
      </c>
      <c r="GJ9" t="e">
        <f>AND('VEL-LECT'!AM45,"AAAAAHTzf78=")</f>
        <v>#VALUE!</v>
      </c>
      <c r="GK9" t="e">
        <f>AND('VEL-LECT'!AN45,"AAAAAHTzf8A=")</f>
        <v>#VALUE!</v>
      </c>
      <c r="GL9" t="e">
        <f>AND('VEL-LECT'!AO45,"AAAAAHTzf8E=")</f>
        <v>#VALUE!</v>
      </c>
      <c r="GM9" t="e">
        <f>AND('VEL-LECT'!AP45,"AAAAAHTzf8I=")</f>
        <v>#VALUE!</v>
      </c>
      <c r="GN9" t="e">
        <f>AND('VEL-LECT'!AQ45,"AAAAAHTzf8M=")</f>
        <v>#VALUE!</v>
      </c>
      <c r="GO9" t="e">
        <f>AND('VEL-LECT'!AR45,"AAAAAHTzf8Q=")</f>
        <v>#VALUE!</v>
      </c>
      <c r="GP9" t="e">
        <f>AND('VEL-LECT'!AS45,"AAAAAHTzf8U=")</f>
        <v>#VALUE!</v>
      </c>
      <c r="GQ9" t="e">
        <f>AND('VEL-LECT'!AT45,"AAAAAHTzf8Y=")</f>
        <v>#VALUE!</v>
      </c>
      <c r="GR9" t="e">
        <f>AND('VEL-LECT'!AU45,"AAAAAHTzf8c=")</f>
        <v>#VALUE!</v>
      </c>
      <c r="GS9" t="e">
        <f>AND('VEL-LECT'!AV45,"AAAAAHTzf8g=")</f>
        <v>#VALUE!</v>
      </c>
      <c r="GT9" t="e">
        <f>AND('VEL-LECT'!AW45,"AAAAAHTzf8k=")</f>
        <v>#VALUE!</v>
      </c>
      <c r="GU9">
        <f>IF('VEL-LECT'!46:46,"AAAAAHTzf8o=",0)</f>
        <v>0</v>
      </c>
      <c r="GV9" t="e">
        <f>AND('VEL-LECT'!A46,"AAAAAHTzf8s=")</f>
        <v>#VALUE!</v>
      </c>
      <c r="GW9" t="e">
        <f>AND('VEL-LECT'!B46,"AAAAAHTzf8w=")</f>
        <v>#VALUE!</v>
      </c>
      <c r="GX9" t="e">
        <f>AND('VEL-LECT'!C46,"AAAAAHTzf80=")</f>
        <v>#VALUE!</v>
      </c>
      <c r="GY9" t="e">
        <f>AND('VEL-LECT'!D46,"AAAAAHTzf84=")</f>
        <v>#VALUE!</v>
      </c>
      <c r="GZ9" t="e">
        <f>AND('VEL-LECT'!E46,"AAAAAHTzf88=")</f>
        <v>#VALUE!</v>
      </c>
      <c r="HA9" t="e">
        <f>AND('VEL-LECT'!F46,"AAAAAHTzf9A=")</f>
        <v>#VALUE!</v>
      </c>
      <c r="HB9" t="e">
        <f>AND('VEL-LECT'!G46,"AAAAAHTzf9E=")</f>
        <v>#VALUE!</v>
      </c>
      <c r="HC9" t="e">
        <f>AND('VEL-LECT'!H46,"AAAAAHTzf9I=")</f>
        <v>#VALUE!</v>
      </c>
      <c r="HD9" t="e">
        <f>AND('VEL-LECT'!I46,"AAAAAHTzf9M=")</f>
        <v>#VALUE!</v>
      </c>
      <c r="HE9" t="e">
        <f>AND('VEL-LECT'!J46,"AAAAAHTzf9Q=")</f>
        <v>#VALUE!</v>
      </c>
      <c r="HF9" t="e">
        <f>AND('VEL-LECT'!K46,"AAAAAHTzf9U=")</f>
        <v>#VALUE!</v>
      </c>
      <c r="HG9" t="e">
        <f>AND('VEL-LECT'!L46,"AAAAAHTzf9Y=")</f>
        <v>#VALUE!</v>
      </c>
      <c r="HH9" t="e">
        <f>AND('VEL-LECT'!M46,"AAAAAHTzf9c=")</f>
        <v>#VALUE!</v>
      </c>
      <c r="HI9" t="e">
        <f>AND('VEL-LECT'!N46,"AAAAAHTzf9g=")</f>
        <v>#VALUE!</v>
      </c>
      <c r="HJ9" t="e">
        <f>AND('VEL-LECT'!O46,"AAAAAHTzf9k=")</f>
        <v>#VALUE!</v>
      </c>
      <c r="HK9" t="e">
        <f>AND('VEL-LECT'!P46,"AAAAAHTzf9o=")</f>
        <v>#VALUE!</v>
      </c>
      <c r="HL9" t="e">
        <f>AND('VEL-LECT'!Q46,"AAAAAHTzf9s=")</f>
        <v>#VALUE!</v>
      </c>
      <c r="HM9" t="e">
        <f>AND('VEL-LECT'!R46,"AAAAAHTzf9w=")</f>
        <v>#VALUE!</v>
      </c>
      <c r="HN9" t="e">
        <f>AND('VEL-LECT'!S46,"AAAAAHTzf90=")</f>
        <v>#VALUE!</v>
      </c>
      <c r="HO9" t="e">
        <f>AND('VEL-LECT'!T46,"AAAAAHTzf94=")</f>
        <v>#VALUE!</v>
      </c>
      <c r="HP9" t="e">
        <f>AND('VEL-LECT'!U46,"AAAAAHTzf98=")</f>
        <v>#VALUE!</v>
      </c>
      <c r="HQ9" t="e">
        <f>AND('VEL-LECT'!V46,"AAAAAHTzf+A=")</f>
        <v>#VALUE!</v>
      </c>
      <c r="HR9" t="e">
        <f>AND('VEL-LECT'!W46,"AAAAAHTzf+E=")</f>
        <v>#VALUE!</v>
      </c>
      <c r="HS9" t="e">
        <f>AND('VEL-LECT'!X46,"AAAAAHTzf+I=")</f>
        <v>#VALUE!</v>
      </c>
      <c r="HT9" t="e">
        <f>AND('VEL-LECT'!Y46,"AAAAAHTzf+M=")</f>
        <v>#VALUE!</v>
      </c>
      <c r="HU9" t="e">
        <f>AND('VEL-LECT'!Z46,"AAAAAHTzf+Q=")</f>
        <v>#VALUE!</v>
      </c>
      <c r="HV9" t="e">
        <f>AND('VEL-LECT'!AA46,"AAAAAHTzf+U=")</f>
        <v>#VALUE!</v>
      </c>
      <c r="HW9" t="e">
        <f>AND('VEL-LECT'!AB46,"AAAAAHTzf+Y=")</f>
        <v>#VALUE!</v>
      </c>
      <c r="HX9" t="e">
        <f>AND('VEL-LECT'!AC46,"AAAAAHTzf+c=")</f>
        <v>#VALUE!</v>
      </c>
      <c r="HY9" t="e">
        <f>AND('VEL-LECT'!AD46,"AAAAAHTzf+g=")</f>
        <v>#VALUE!</v>
      </c>
      <c r="HZ9" t="e">
        <f>AND('VEL-LECT'!AE46,"AAAAAHTzf+k=")</f>
        <v>#VALUE!</v>
      </c>
      <c r="IA9" t="e">
        <f>AND('VEL-LECT'!AF46,"AAAAAHTzf+o=")</f>
        <v>#VALUE!</v>
      </c>
      <c r="IB9" t="e">
        <f>AND('VEL-LECT'!AG46,"AAAAAHTzf+s=")</f>
        <v>#VALUE!</v>
      </c>
      <c r="IC9" t="e">
        <f>AND('VEL-LECT'!AH46,"AAAAAHTzf+w=")</f>
        <v>#VALUE!</v>
      </c>
      <c r="ID9" t="e">
        <f>AND('VEL-LECT'!AI46,"AAAAAHTzf+0=")</f>
        <v>#VALUE!</v>
      </c>
      <c r="IE9" t="e">
        <f>AND('VEL-LECT'!AJ46,"AAAAAHTzf+4=")</f>
        <v>#VALUE!</v>
      </c>
      <c r="IF9" t="e">
        <f>AND('VEL-LECT'!AK46,"AAAAAHTzf+8=")</f>
        <v>#VALUE!</v>
      </c>
      <c r="IG9" t="e">
        <f>AND('VEL-LECT'!AL46,"AAAAAHTzf/A=")</f>
        <v>#VALUE!</v>
      </c>
      <c r="IH9" t="e">
        <f>AND('VEL-LECT'!AM46,"AAAAAHTzf/E=")</f>
        <v>#VALUE!</v>
      </c>
      <c r="II9" t="e">
        <f>AND('VEL-LECT'!AN46,"AAAAAHTzf/I=")</f>
        <v>#VALUE!</v>
      </c>
      <c r="IJ9" t="e">
        <f>AND('VEL-LECT'!AO46,"AAAAAHTzf/M=")</f>
        <v>#VALUE!</v>
      </c>
      <c r="IK9" t="e">
        <f>AND('VEL-LECT'!AP46,"AAAAAHTzf/Q=")</f>
        <v>#VALUE!</v>
      </c>
      <c r="IL9" t="e">
        <f>AND('VEL-LECT'!AQ46,"AAAAAHTzf/U=")</f>
        <v>#VALUE!</v>
      </c>
      <c r="IM9" t="e">
        <f>AND('VEL-LECT'!AR46,"AAAAAHTzf/Y=")</f>
        <v>#VALUE!</v>
      </c>
      <c r="IN9" t="e">
        <f>AND('VEL-LECT'!AS46,"AAAAAHTzf/c=")</f>
        <v>#VALUE!</v>
      </c>
      <c r="IO9" t="e">
        <f>AND('VEL-LECT'!AT46,"AAAAAHTzf/g=")</f>
        <v>#VALUE!</v>
      </c>
      <c r="IP9" t="e">
        <f>AND('VEL-LECT'!AU46,"AAAAAHTzf/k=")</f>
        <v>#VALUE!</v>
      </c>
      <c r="IQ9" t="e">
        <f>AND('VEL-LECT'!AV46,"AAAAAHTzf/o=")</f>
        <v>#VALUE!</v>
      </c>
      <c r="IR9" t="e">
        <f>AND('VEL-LECT'!AW46,"AAAAAHTzf/s=")</f>
        <v>#VALUE!</v>
      </c>
      <c r="IS9">
        <f>IF('VEL-LECT'!47:47,"AAAAAHTzf/w=",0)</f>
        <v>0</v>
      </c>
      <c r="IT9" t="e">
        <f>AND('VEL-LECT'!A47,"AAAAAHTzf/0=")</f>
        <v>#VALUE!</v>
      </c>
      <c r="IU9" t="e">
        <f>AND('VEL-LECT'!B47,"AAAAAHTzf/4=")</f>
        <v>#VALUE!</v>
      </c>
      <c r="IV9" t="e">
        <f>AND('VEL-LECT'!C47,"AAAAAHTzf/8=")</f>
        <v>#VALUE!</v>
      </c>
    </row>
    <row r="10" spans="1:256" ht="15">
      <c r="A10" t="e">
        <f>AND('VEL-LECT'!D47,"AAAAADQflwA=")</f>
        <v>#VALUE!</v>
      </c>
      <c r="B10" t="e">
        <f>AND('VEL-LECT'!E47,"AAAAADQflwE=")</f>
        <v>#VALUE!</v>
      </c>
      <c r="C10" t="e">
        <f>AND('VEL-LECT'!F47,"AAAAADQflwI=")</f>
        <v>#VALUE!</v>
      </c>
      <c r="D10" t="e">
        <f>AND('VEL-LECT'!G47,"AAAAADQflwM=")</f>
        <v>#VALUE!</v>
      </c>
      <c r="E10" t="e">
        <f>AND('VEL-LECT'!H47,"AAAAADQflwQ=")</f>
        <v>#VALUE!</v>
      </c>
      <c r="F10" t="e">
        <f>AND('VEL-LECT'!I47,"AAAAADQflwU=")</f>
        <v>#VALUE!</v>
      </c>
      <c r="G10" t="e">
        <f>AND('VEL-LECT'!J47,"AAAAADQflwY=")</f>
        <v>#VALUE!</v>
      </c>
      <c r="H10" t="e">
        <f>AND('VEL-LECT'!K47,"AAAAADQflwc=")</f>
        <v>#VALUE!</v>
      </c>
      <c r="I10" t="e">
        <f>AND('VEL-LECT'!L47,"AAAAADQflwg=")</f>
        <v>#VALUE!</v>
      </c>
      <c r="J10" t="e">
        <f>AND('VEL-LECT'!M47,"AAAAADQflwk=")</f>
        <v>#VALUE!</v>
      </c>
      <c r="K10" t="e">
        <f>AND('VEL-LECT'!N47,"AAAAADQflwo=")</f>
        <v>#VALUE!</v>
      </c>
      <c r="L10" t="e">
        <f>AND('VEL-LECT'!O47,"AAAAADQflws=")</f>
        <v>#VALUE!</v>
      </c>
      <c r="M10" t="e">
        <f>AND('VEL-LECT'!P47,"AAAAADQflww=")</f>
        <v>#VALUE!</v>
      </c>
      <c r="N10" t="e">
        <f>AND('VEL-LECT'!Q47,"AAAAADQflw0=")</f>
        <v>#VALUE!</v>
      </c>
      <c r="O10" t="e">
        <f>AND('VEL-LECT'!R47,"AAAAADQflw4=")</f>
        <v>#VALUE!</v>
      </c>
      <c r="P10" t="e">
        <f>AND('VEL-LECT'!S47,"AAAAADQflw8=")</f>
        <v>#VALUE!</v>
      </c>
      <c r="Q10" t="e">
        <f>AND('VEL-LECT'!T47,"AAAAADQflxA=")</f>
        <v>#VALUE!</v>
      </c>
      <c r="R10" t="e">
        <f>AND('VEL-LECT'!U47,"AAAAADQflxE=")</f>
        <v>#VALUE!</v>
      </c>
      <c r="S10" t="e">
        <f>AND('VEL-LECT'!V47,"AAAAADQflxI=")</f>
        <v>#VALUE!</v>
      </c>
      <c r="T10" t="e">
        <f>AND('VEL-LECT'!W47,"AAAAADQflxM=")</f>
        <v>#VALUE!</v>
      </c>
      <c r="U10" t="e">
        <f>AND('VEL-LECT'!X47,"AAAAADQflxQ=")</f>
        <v>#VALUE!</v>
      </c>
      <c r="V10" t="e">
        <f>AND('VEL-LECT'!Y47,"AAAAADQflxU=")</f>
        <v>#VALUE!</v>
      </c>
      <c r="W10" t="e">
        <f>AND('VEL-LECT'!Z47,"AAAAADQflxY=")</f>
        <v>#VALUE!</v>
      </c>
      <c r="X10" t="e">
        <f>AND('VEL-LECT'!AA47,"AAAAADQflxc=")</f>
        <v>#VALUE!</v>
      </c>
      <c r="Y10" t="e">
        <f>AND('VEL-LECT'!AB47,"AAAAADQflxg=")</f>
        <v>#VALUE!</v>
      </c>
      <c r="Z10" t="e">
        <f>AND('VEL-LECT'!AC47,"AAAAADQflxk=")</f>
        <v>#VALUE!</v>
      </c>
      <c r="AA10" t="e">
        <f>AND('VEL-LECT'!AD47,"AAAAADQflxo=")</f>
        <v>#VALUE!</v>
      </c>
      <c r="AB10" t="e">
        <f>AND('VEL-LECT'!AE47,"AAAAADQflxs=")</f>
        <v>#VALUE!</v>
      </c>
      <c r="AC10" t="e">
        <f>AND('VEL-LECT'!AF47,"AAAAADQflxw=")</f>
        <v>#VALUE!</v>
      </c>
      <c r="AD10" t="e">
        <f>AND('VEL-LECT'!AG47,"AAAAADQflx0=")</f>
        <v>#VALUE!</v>
      </c>
      <c r="AE10" t="e">
        <f>AND('VEL-LECT'!AH47,"AAAAADQflx4=")</f>
        <v>#VALUE!</v>
      </c>
      <c r="AF10" t="e">
        <f>AND('VEL-LECT'!AI47,"AAAAADQflx8=")</f>
        <v>#VALUE!</v>
      </c>
      <c r="AG10" t="e">
        <f>AND('VEL-LECT'!AJ47,"AAAAADQflyA=")</f>
        <v>#VALUE!</v>
      </c>
      <c r="AH10" t="e">
        <f>AND('VEL-LECT'!AK47,"AAAAADQflyE=")</f>
        <v>#VALUE!</v>
      </c>
      <c r="AI10" t="e">
        <f>AND('VEL-LECT'!AL47,"AAAAADQflyI=")</f>
        <v>#VALUE!</v>
      </c>
      <c r="AJ10" t="e">
        <f>AND('VEL-LECT'!AM47,"AAAAADQflyM=")</f>
        <v>#VALUE!</v>
      </c>
      <c r="AK10" t="e">
        <f>AND('VEL-LECT'!AN47,"AAAAADQflyQ=")</f>
        <v>#VALUE!</v>
      </c>
      <c r="AL10" t="e">
        <f>AND('VEL-LECT'!AO47,"AAAAADQflyU=")</f>
        <v>#VALUE!</v>
      </c>
      <c r="AM10" t="e">
        <f>AND('VEL-LECT'!AP47,"AAAAADQflyY=")</f>
        <v>#VALUE!</v>
      </c>
      <c r="AN10" t="e">
        <f>AND('VEL-LECT'!AQ47,"AAAAADQflyc=")</f>
        <v>#VALUE!</v>
      </c>
      <c r="AO10" t="e">
        <f>AND('VEL-LECT'!AR47,"AAAAADQflyg=")</f>
        <v>#VALUE!</v>
      </c>
      <c r="AP10" t="e">
        <f>AND('VEL-LECT'!AS47,"AAAAADQflyk=")</f>
        <v>#VALUE!</v>
      </c>
      <c r="AQ10" t="e">
        <f>AND('VEL-LECT'!AT47,"AAAAADQflyo=")</f>
        <v>#VALUE!</v>
      </c>
      <c r="AR10" t="e">
        <f>AND('VEL-LECT'!AU47,"AAAAADQflys=")</f>
        <v>#VALUE!</v>
      </c>
      <c r="AS10" t="e">
        <f>AND('VEL-LECT'!AV47,"AAAAADQflyw=")</f>
        <v>#VALUE!</v>
      </c>
      <c r="AT10" t="e">
        <f>AND('VEL-LECT'!AW47,"AAAAADQfly0=")</f>
        <v>#VALUE!</v>
      </c>
      <c r="AU10">
        <f>IF('VEL-LECT'!48:48,"AAAAADQfly4=",0)</f>
        <v>0</v>
      </c>
      <c r="AV10" t="e">
        <f>AND('VEL-LECT'!A48,"AAAAADQfly8=")</f>
        <v>#VALUE!</v>
      </c>
      <c r="AW10" t="e">
        <f>AND('VEL-LECT'!B48,"AAAAADQflzA=")</f>
        <v>#VALUE!</v>
      </c>
      <c r="AX10" t="e">
        <f>AND('VEL-LECT'!C48,"AAAAADQflzE=")</f>
        <v>#VALUE!</v>
      </c>
      <c r="AY10" t="e">
        <f>AND('VEL-LECT'!D48,"AAAAADQflzI=")</f>
        <v>#VALUE!</v>
      </c>
      <c r="AZ10" t="e">
        <f>AND('VEL-LECT'!E48,"AAAAADQflzM=")</f>
        <v>#VALUE!</v>
      </c>
      <c r="BA10" t="e">
        <f>AND('VEL-LECT'!F48,"AAAAADQflzQ=")</f>
        <v>#VALUE!</v>
      </c>
      <c r="BB10" t="e">
        <f>AND('VEL-LECT'!G48,"AAAAADQflzU=")</f>
        <v>#VALUE!</v>
      </c>
      <c r="BC10" t="e">
        <f>AND('VEL-LECT'!H48,"AAAAADQflzY=")</f>
        <v>#VALUE!</v>
      </c>
      <c r="BD10" t="e">
        <f>AND('VEL-LECT'!I48,"AAAAADQflzc=")</f>
        <v>#VALUE!</v>
      </c>
      <c r="BE10" t="e">
        <f>AND('VEL-LECT'!J48,"AAAAADQflzg=")</f>
        <v>#VALUE!</v>
      </c>
      <c r="BF10" t="e">
        <f>AND('VEL-LECT'!K48,"AAAAADQflzk=")</f>
        <v>#VALUE!</v>
      </c>
      <c r="BG10" t="e">
        <f>AND('VEL-LECT'!L48,"AAAAADQflzo=")</f>
        <v>#VALUE!</v>
      </c>
      <c r="BH10" t="e">
        <f>AND('VEL-LECT'!M48,"AAAAADQflzs=")</f>
        <v>#VALUE!</v>
      </c>
      <c r="BI10" t="e">
        <f>AND('VEL-LECT'!N48,"AAAAADQflzw=")</f>
        <v>#VALUE!</v>
      </c>
      <c r="BJ10" t="e">
        <f>AND('VEL-LECT'!O48,"AAAAADQflz0=")</f>
        <v>#VALUE!</v>
      </c>
      <c r="BK10" t="e">
        <f>AND('VEL-LECT'!P48,"AAAAADQflz4=")</f>
        <v>#VALUE!</v>
      </c>
      <c r="BL10" t="e">
        <f>AND('VEL-LECT'!Q48,"AAAAADQflz8=")</f>
        <v>#VALUE!</v>
      </c>
      <c r="BM10" t="e">
        <f>AND('VEL-LECT'!R48,"AAAAADQfl0A=")</f>
        <v>#VALUE!</v>
      </c>
      <c r="BN10" t="e">
        <f>AND('VEL-LECT'!S48,"AAAAADQfl0E=")</f>
        <v>#VALUE!</v>
      </c>
      <c r="BO10" t="e">
        <f>AND('VEL-LECT'!T48,"AAAAADQfl0I=")</f>
        <v>#VALUE!</v>
      </c>
      <c r="BP10" t="e">
        <f>AND('VEL-LECT'!U48,"AAAAADQfl0M=")</f>
        <v>#VALUE!</v>
      </c>
      <c r="BQ10" t="e">
        <f>AND('VEL-LECT'!V48,"AAAAADQfl0Q=")</f>
        <v>#VALUE!</v>
      </c>
      <c r="BR10" t="e">
        <f>AND('VEL-LECT'!W48,"AAAAADQfl0U=")</f>
        <v>#VALUE!</v>
      </c>
      <c r="BS10" t="e">
        <f>AND('VEL-LECT'!X48,"AAAAADQfl0Y=")</f>
        <v>#VALUE!</v>
      </c>
      <c r="BT10" t="e">
        <f>AND('VEL-LECT'!Y48,"AAAAADQfl0c=")</f>
        <v>#VALUE!</v>
      </c>
      <c r="BU10" t="e">
        <f>AND('VEL-LECT'!Z48,"AAAAADQfl0g=")</f>
        <v>#VALUE!</v>
      </c>
      <c r="BV10" t="e">
        <f>AND('VEL-LECT'!AA48,"AAAAADQfl0k=")</f>
        <v>#VALUE!</v>
      </c>
      <c r="BW10" t="e">
        <f>AND('VEL-LECT'!AB48,"AAAAADQfl0o=")</f>
        <v>#VALUE!</v>
      </c>
      <c r="BX10" t="e">
        <f>AND('VEL-LECT'!AC48,"AAAAADQfl0s=")</f>
        <v>#VALUE!</v>
      </c>
      <c r="BY10" t="e">
        <f>AND('VEL-LECT'!AD48,"AAAAADQfl0w=")</f>
        <v>#VALUE!</v>
      </c>
      <c r="BZ10" t="e">
        <f>AND('VEL-LECT'!AE48,"AAAAADQfl00=")</f>
        <v>#VALUE!</v>
      </c>
      <c r="CA10" t="e">
        <f>AND('VEL-LECT'!AF48,"AAAAADQfl04=")</f>
        <v>#VALUE!</v>
      </c>
      <c r="CB10" t="e">
        <f>AND('VEL-LECT'!AG48,"AAAAADQfl08=")</f>
        <v>#VALUE!</v>
      </c>
      <c r="CC10" t="e">
        <f>AND('VEL-LECT'!AH48,"AAAAADQfl1A=")</f>
        <v>#VALUE!</v>
      </c>
      <c r="CD10" t="e">
        <f>AND('VEL-LECT'!AI48,"AAAAADQfl1E=")</f>
        <v>#VALUE!</v>
      </c>
      <c r="CE10" t="e">
        <f>AND('VEL-LECT'!AJ48,"AAAAADQfl1I=")</f>
        <v>#VALUE!</v>
      </c>
      <c r="CF10" t="e">
        <f>AND('VEL-LECT'!AK48,"AAAAADQfl1M=")</f>
        <v>#VALUE!</v>
      </c>
      <c r="CG10" t="e">
        <f>AND('VEL-LECT'!AL48,"AAAAADQfl1Q=")</f>
        <v>#VALUE!</v>
      </c>
      <c r="CH10" t="e">
        <f>AND('VEL-LECT'!AM48,"AAAAADQfl1U=")</f>
        <v>#VALUE!</v>
      </c>
      <c r="CI10" t="e">
        <f>AND('VEL-LECT'!AN48,"AAAAADQfl1Y=")</f>
        <v>#VALUE!</v>
      </c>
      <c r="CJ10" t="e">
        <f>AND('VEL-LECT'!AO48,"AAAAADQfl1c=")</f>
        <v>#VALUE!</v>
      </c>
      <c r="CK10" t="e">
        <f>AND('VEL-LECT'!AP48,"AAAAADQfl1g=")</f>
        <v>#VALUE!</v>
      </c>
      <c r="CL10" t="e">
        <f>AND('VEL-LECT'!AQ48,"AAAAADQfl1k=")</f>
        <v>#VALUE!</v>
      </c>
      <c r="CM10" t="e">
        <f>AND('VEL-LECT'!AR48,"AAAAADQfl1o=")</f>
        <v>#VALUE!</v>
      </c>
      <c r="CN10" t="e">
        <f>AND('VEL-LECT'!AS48,"AAAAADQfl1s=")</f>
        <v>#VALUE!</v>
      </c>
      <c r="CO10" t="e">
        <f>AND('VEL-LECT'!AT48,"AAAAADQfl1w=")</f>
        <v>#VALUE!</v>
      </c>
      <c r="CP10" t="e">
        <f>AND('VEL-LECT'!AU48,"AAAAADQfl10=")</f>
        <v>#VALUE!</v>
      </c>
      <c r="CQ10" t="e">
        <f>AND('VEL-LECT'!AV48,"AAAAADQfl14=")</f>
        <v>#VALUE!</v>
      </c>
      <c r="CR10" t="e">
        <f>AND('VEL-LECT'!AW48,"AAAAADQfl18=")</f>
        <v>#VALUE!</v>
      </c>
      <c r="CS10">
        <f>IF('VEL-LECT'!49:49,"AAAAADQfl2A=",0)</f>
        <v>0</v>
      </c>
      <c r="CT10" t="e">
        <f>AND('VEL-LECT'!A49,"AAAAADQfl2E=")</f>
        <v>#VALUE!</v>
      </c>
      <c r="CU10" t="e">
        <f>AND('VEL-LECT'!B49,"AAAAADQfl2I=")</f>
        <v>#VALUE!</v>
      </c>
      <c r="CV10" t="e">
        <f>AND('VEL-LECT'!C49,"AAAAADQfl2M=")</f>
        <v>#VALUE!</v>
      </c>
      <c r="CW10" t="e">
        <f>AND('VEL-LECT'!D49,"AAAAADQfl2Q=")</f>
        <v>#VALUE!</v>
      </c>
      <c r="CX10" t="e">
        <f>AND('VEL-LECT'!E49,"AAAAADQfl2U=")</f>
        <v>#VALUE!</v>
      </c>
      <c r="CY10" t="e">
        <f>AND('VEL-LECT'!F49,"AAAAADQfl2Y=")</f>
        <v>#VALUE!</v>
      </c>
      <c r="CZ10" t="e">
        <f>AND('VEL-LECT'!G49,"AAAAADQfl2c=")</f>
        <v>#VALUE!</v>
      </c>
      <c r="DA10" t="e">
        <f>AND('VEL-LECT'!H49,"AAAAADQfl2g=")</f>
        <v>#VALUE!</v>
      </c>
      <c r="DB10" t="e">
        <f>AND('VEL-LECT'!I49,"AAAAADQfl2k=")</f>
        <v>#VALUE!</v>
      </c>
      <c r="DC10" t="e">
        <f>AND('VEL-LECT'!J49,"AAAAADQfl2o=")</f>
        <v>#VALUE!</v>
      </c>
      <c r="DD10" t="e">
        <f>AND('VEL-LECT'!K49,"AAAAADQfl2s=")</f>
        <v>#VALUE!</v>
      </c>
      <c r="DE10" t="e">
        <f>AND('VEL-LECT'!L49,"AAAAADQfl2w=")</f>
        <v>#VALUE!</v>
      </c>
      <c r="DF10" t="e">
        <f>AND('VEL-LECT'!M49,"AAAAADQfl20=")</f>
        <v>#VALUE!</v>
      </c>
      <c r="DG10" t="e">
        <f>AND('VEL-LECT'!N49,"AAAAADQfl24=")</f>
        <v>#VALUE!</v>
      </c>
      <c r="DH10" t="e">
        <f>AND('VEL-LECT'!O49,"AAAAADQfl28=")</f>
        <v>#VALUE!</v>
      </c>
      <c r="DI10" t="e">
        <f>AND('VEL-LECT'!P49,"AAAAADQfl3A=")</f>
        <v>#VALUE!</v>
      </c>
      <c r="DJ10" t="e">
        <f>AND('VEL-LECT'!Q49,"AAAAADQfl3E=")</f>
        <v>#VALUE!</v>
      </c>
      <c r="DK10" t="e">
        <f>AND('VEL-LECT'!R49,"AAAAADQfl3I=")</f>
        <v>#VALUE!</v>
      </c>
      <c r="DL10" t="e">
        <f>AND('VEL-LECT'!S49,"AAAAADQfl3M=")</f>
        <v>#VALUE!</v>
      </c>
      <c r="DM10" t="e">
        <f>AND('VEL-LECT'!T49,"AAAAADQfl3Q=")</f>
        <v>#VALUE!</v>
      </c>
      <c r="DN10" t="e">
        <f>AND('VEL-LECT'!U49,"AAAAADQfl3U=")</f>
        <v>#VALUE!</v>
      </c>
      <c r="DO10" t="e">
        <f>AND('VEL-LECT'!V49,"AAAAADQfl3Y=")</f>
        <v>#VALUE!</v>
      </c>
      <c r="DP10" t="e">
        <f>AND('VEL-LECT'!W49,"AAAAADQfl3c=")</f>
        <v>#VALUE!</v>
      </c>
      <c r="DQ10" t="e">
        <f>AND('VEL-LECT'!X49,"AAAAADQfl3g=")</f>
        <v>#VALUE!</v>
      </c>
      <c r="DR10" t="e">
        <f>AND('VEL-LECT'!Y49,"AAAAADQfl3k=")</f>
        <v>#VALUE!</v>
      </c>
      <c r="DS10" t="e">
        <f>AND('VEL-LECT'!Z49,"AAAAADQfl3o=")</f>
        <v>#VALUE!</v>
      </c>
      <c r="DT10" t="e">
        <f>AND('VEL-LECT'!AA49,"AAAAADQfl3s=")</f>
        <v>#VALUE!</v>
      </c>
      <c r="DU10" t="e">
        <f>AND('VEL-LECT'!AB49,"AAAAADQfl3w=")</f>
        <v>#VALUE!</v>
      </c>
      <c r="DV10" t="e">
        <f>AND('VEL-LECT'!AC49,"AAAAADQfl30=")</f>
        <v>#VALUE!</v>
      </c>
      <c r="DW10" t="e">
        <f>AND('VEL-LECT'!AD49,"AAAAADQfl34=")</f>
        <v>#VALUE!</v>
      </c>
      <c r="DX10" t="e">
        <f>AND('VEL-LECT'!AE49,"AAAAADQfl38=")</f>
        <v>#VALUE!</v>
      </c>
      <c r="DY10" t="e">
        <f>AND('VEL-LECT'!AF49,"AAAAADQfl4A=")</f>
        <v>#VALUE!</v>
      </c>
      <c r="DZ10" t="e">
        <f>AND('VEL-LECT'!AG49,"AAAAADQfl4E=")</f>
        <v>#VALUE!</v>
      </c>
      <c r="EA10" t="e">
        <f>AND('VEL-LECT'!AH49,"AAAAADQfl4I=")</f>
        <v>#VALUE!</v>
      </c>
      <c r="EB10" t="e">
        <f>AND('VEL-LECT'!AI49,"AAAAADQfl4M=")</f>
        <v>#VALUE!</v>
      </c>
      <c r="EC10" t="e">
        <f>AND('VEL-LECT'!AJ49,"AAAAADQfl4Q=")</f>
        <v>#VALUE!</v>
      </c>
      <c r="ED10" t="e">
        <f>AND('VEL-LECT'!AK49,"AAAAADQfl4U=")</f>
        <v>#VALUE!</v>
      </c>
      <c r="EE10" t="e">
        <f>AND('VEL-LECT'!AL49,"AAAAADQfl4Y=")</f>
        <v>#VALUE!</v>
      </c>
      <c r="EF10" t="e">
        <f>AND('VEL-LECT'!AM49,"AAAAADQfl4c=")</f>
        <v>#VALUE!</v>
      </c>
      <c r="EG10" t="e">
        <f>AND('VEL-LECT'!AN49,"AAAAADQfl4g=")</f>
        <v>#VALUE!</v>
      </c>
      <c r="EH10" t="e">
        <f>AND('VEL-LECT'!AO49,"AAAAADQfl4k=")</f>
        <v>#VALUE!</v>
      </c>
      <c r="EI10" t="e">
        <f>AND('VEL-LECT'!AP49,"AAAAADQfl4o=")</f>
        <v>#VALUE!</v>
      </c>
      <c r="EJ10" t="e">
        <f>AND('VEL-LECT'!AQ49,"AAAAADQfl4s=")</f>
        <v>#VALUE!</v>
      </c>
      <c r="EK10" t="e">
        <f>AND('VEL-LECT'!AR49,"AAAAADQfl4w=")</f>
        <v>#VALUE!</v>
      </c>
      <c r="EL10" t="e">
        <f>AND('VEL-LECT'!AS49,"AAAAADQfl40=")</f>
        <v>#VALUE!</v>
      </c>
      <c r="EM10" t="e">
        <f>AND('VEL-LECT'!AT49,"AAAAADQfl44=")</f>
        <v>#VALUE!</v>
      </c>
      <c r="EN10" t="e">
        <f>AND('VEL-LECT'!AU49,"AAAAADQfl48=")</f>
        <v>#VALUE!</v>
      </c>
      <c r="EO10" t="e">
        <f>AND('VEL-LECT'!AV49,"AAAAADQfl5A=")</f>
        <v>#VALUE!</v>
      </c>
      <c r="EP10" t="e">
        <f>AND('VEL-LECT'!AW49,"AAAAADQfl5E=")</f>
        <v>#VALUE!</v>
      </c>
      <c r="EQ10">
        <f>IF('VEL-LECT'!50:50,"AAAAADQfl5I=",0)</f>
        <v>0</v>
      </c>
      <c r="ER10" t="e">
        <f>AND('VEL-LECT'!A50,"AAAAADQfl5M=")</f>
        <v>#VALUE!</v>
      </c>
      <c r="ES10" t="e">
        <f>AND('VEL-LECT'!B50,"AAAAADQfl5Q=")</f>
        <v>#VALUE!</v>
      </c>
      <c r="ET10" t="e">
        <f>AND('VEL-LECT'!C50,"AAAAADQfl5U=")</f>
        <v>#VALUE!</v>
      </c>
      <c r="EU10" t="e">
        <f>AND('VEL-LECT'!D50,"AAAAADQfl5Y=")</f>
        <v>#VALUE!</v>
      </c>
      <c r="EV10" t="e">
        <f>AND('VEL-LECT'!E50,"AAAAADQfl5c=")</f>
        <v>#VALUE!</v>
      </c>
      <c r="EW10" t="e">
        <f>AND('VEL-LECT'!F50,"AAAAADQfl5g=")</f>
        <v>#VALUE!</v>
      </c>
      <c r="EX10" t="e">
        <f>AND('VEL-LECT'!G50,"AAAAADQfl5k=")</f>
        <v>#VALUE!</v>
      </c>
      <c r="EY10" t="e">
        <f>AND('VEL-LECT'!H50,"AAAAADQfl5o=")</f>
        <v>#VALUE!</v>
      </c>
      <c r="EZ10" t="e">
        <f>AND('VEL-LECT'!I50,"AAAAADQfl5s=")</f>
        <v>#VALUE!</v>
      </c>
      <c r="FA10" t="e">
        <f>AND('VEL-LECT'!J50,"AAAAADQfl5w=")</f>
        <v>#VALUE!</v>
      </c>
      <c r="FB10" t="e">
        <f>AND('VEL-LECT'!K50,"AAAAADQfl50=")</f>
        <v>#VALUE!</v>
      </c>
      <c r="FC10" t="e">
        <f>AND('VEL-LECT'!L50,"AAAAADQfl54=")</f>
        <v>#VALUE!</v>
      </c>
      <c r="FD10" t="e">
        <f>AND('VEL-LECT'!M50,"AAAAADQfl58=")</f>
        <v>#VALUE!</v>
      </c>
      <c r="FE10" t="e">
        <f>AND('VEL-LECT'!N50,"AAAAADQfl6A=")</f>
        <v>#VALUE!</v>
      </c>
      <c r="FF10" t="e">
        <f>AND('VEL-LECT'!O50,"AAAAADQfl6E=")</f>
        <v>#VALUE!</v>
      </c>
      <c r="FG10" t="e">
        <f>AND('VEL-LECT'!P50,"AAAAADQfl6I=")</f>
        <v>#VALUE!</v>
      </c>
      <c r="FH10" t="e">
        <f>AND('VEL-LECT'!Q50,"AAAAADQfl6M=")</f>
        <v>#VALUE!</v>
      </c>
      <c r="FI10" t="e">
        <f>AND('VEL-LECT'!R50,"AAAAADQfl6Q=")</f>
        <v>#VALUE!</v>
      </c>
      <c r="FJ10" t="e">
        <f>AND('VEL-LECT'!S50,"AAAAADQfl6U=")</f>
        <v>#VALUE!</v>
      </c>
      <c r="FK10" t="e">
        <f>AND('VEL-LECT'!T50,"AAAAADQfl6Y=")</f>
        <v>#VALUE!</v>
      </c>
      <c r="FL10" t="e">
        <f>AND('VEL-LECT'!U50,"AAAAADQfl6c=")</f>
        <v>#VALUE!</v>
      </c>
      <c r="FM10" t="e">
        <f>AND('VEL-LECT'!V50,"AAAAADQfl6g=")</f>
        <v>#VALUE!</v>
      </c>
      <c r="FN10" t="e">
        <f>AND('VEL-LECT'!W50,"AAAAADQfl6k=")</f>
        <v>#VALUE!</v>
      </c>
      <c r="FO10" t="e">
        <f>AND('VEL-LECT'!X50,"AAAAADQfl6o=")</f>
        <v>#VALUE!</v>
      </c>
      <c r="FP10" t="e">
        <f>AND('VEL-LECT'!Y50,"AAAAADQfl6s=")</f>
        <v>#VALUE!</v>
      </c>
      <c r="FQ10" t="e">
        <f>AND('VEL-LECT'!Z50,"AAAAADQfl6w=")</f>
        <v>#VALUE!</v>
      </c>
      <c r="FR10" t="e">
        <f>AND('VEL-LECT'!AA50,"AAAAADQfl60=")</f>
        <v>#VALUE!</v>
      </c>
      <c r="FS10" t="e">
        <f>AND('VEL-LECT'!AB50,"AAAAADQfl64=")</f>
        <v>#VALUE!</v>
      </c>
      <c r="FT10" t="e">
        <f>AND('VEL-LECT'!AC50,"AAAAADQfl68=")</f>
        <v>#VALUE!</v>
      </c>
      <c r="FU10" t="e">
        <f>AND('VEL-LECT'!AD50,"AAAAADQfl7A=")</f>
        <v>#VALUE!</v>
      </c>
      <c r="FV10" t="e">
        <f>AND('VEL-LECT'!AE50,"AAAAADQfl7E=")</f>
        <v>#VALUE!</v>
      </c>
      <c r="FW10" t="e">
        <f>AND('VEL-LECT'!AF50,"AAAAADQfl7I=")</f>
        <v>#VALUE!</v>
      </c>
      <c r="FX10" t="e">
        <f>AND('VEL-LECT'!AG50,"AAAAADQfl7M=")</f>
        <v>#VALUE!</v>
      </c>
      <c r="FY10" t="e">
        <f>AND('VEL-LECT'!AH50,"AAAAADQfl7Q=")</f>
        <v>#VALUE!</v>
      </c>
      <c r="FZ10" t="e">
        <f>AND('VEL-LECT'!AI50,"AAAAADQfl7U=")</f>
        <v>#VALUE!</v>
      </c>
      <c r="GA10" t="e">
        <f>AND('VEL-LECT'!AJ50,"AAAAADQfl7Y=")</f>
        <v>#VALUE!</v>
      </c>
      <c r="GB10" t="e">
        <f>AND('VEL-LECT'!AK50,"AAAAADQfl7c=")</f>
        <v>#VALUE!</v>
      </c>
      <c r="GC10" t="e">
        <f>AND('VEL-LECT'!AL50,"AAAAADQfl7g=")</f>
        <v>#VALUE!</v>
      </c>
      <c r="GD10" t="e">
        <f>AND('VEL-LECT'!AM50,"AAAAADQfl7k=")</f>
        <v>#VALUE!</v>
      </c>
      <c r="GE10" t="e">
        <f>AND('VEL-LECT'!AN50,"AAAAADQfl7o=")</f>
        <v>#VALUE!</v>
      </c>
      <c r="GF10" t="e">
        <f>AND('VEL-LECT'!AO50,"AAAAADQfl7s=")</f>
        <v>#VALUE!</v>
      </c>
      <c r="GG10" t="e">
        <f>AND('VEL-LECT'!AP50,"AAAAADQfl7w=")</f>
        <v>#VALUE!</v>
      </c>
      <c r="GH10" t="e">
        <f>AND('VEL-LECT'!AQ50,"AAAAADQfl70=")</f>
        <v>#VALUE!</v>
      </c>
      <c r="GI10" t="e">
        <f>AND('VEL-LECT'!AR50,"AAAAADQfl74=")</f>
        <v>#VALUE!</v>
      </c>
      <c r="GJ10" t="e">
        <f>AND('VEL-LECT'!AS50,"AAAAADQfl78=")</f>
        <v>#VALUE!</v>
      </c>
      <c r="GK10" t="e">
        <f>AND('VEL-LECT'!AT50,"AAAAADQfl8A=")</f>
        <v>#VALUE!</v>
      </c>
      <c r="GL10" t="e">
        <f>AND('VEL-LECT'!AU50,"AAAAADQfl8E=")</f>
        <v>#VALUE!</v>
      </c>
      <c r="GM10" t="e">
        <f>AND('VEL-LECT'!AV50,"AAAAADQfl8I=")</f>
        <v>#VALUE!</v>
      </c>
      <c r="GN10" t="e">
        <f>AND('VEL-LECT'!AW50,"AAAAADQfl8M=")</f>
        <v>#VALUE!</v>
      </c>
      <c r="GO10">
        <f>IF('VEL-LECT'!51:51,"AAAAADQfl8Q=",0)</f>
        <v>0</v>
      </c>
      <c r="GP10" t="e">
        <f>AND('VEL-LECT'!A51,"AAAAADQfl8U=")</f>
        <v>#VALUE!</v>
      </c>
      <c r="GQ10" t="e">
        <f>AND('VEL-LECT'!B51,"AAAAADQfl8Y=")</f>
        <v>#VALUE!</v>
      </c>
      <c r="GR10" t="e">
        <f>AND('VEL-LECT'!C51,"AAAAADQfl8c=")</f>
        <v>#VALUE!</v>
      </c>
      <c r="GS10" t="e">
        <f>AND('VEL-LECT'!D51,"AAAAADQfl8g=")</f>
        <v>#VALUE!</v>
      </c>
      <c r="GT10" t="e">
        <f>AND('VEL-LECT'!E51,"AAAAADQfl8k=")</f>
        <v>#VALUE!</v>
      </c>
      <c r="GU10" t="e">
        <f>AND('VEL-LECT'!F51,"AAAAADQfl8o=")</f>
        <v>#VALUE!</v>
      </c>
      <c r="GV10" t="e">
        <f>AND('VEL-LECT'!G51,"AAAAADQfl8s=")</f>
        <v>#VALUE!</v>
      </c>
      <c r="GW10" t="e">
        <f>AND('VEL-LECT'!H51,"AAAAADQfl8w=")</f>
        <v>#VALUE!</v>
      </c>
      <c r="GX10" t="e">
        <f>AND('VEL-LECT'!I51,"AAAAADQfl80=")</f>
        <v>#VALUE!</v>
      </c>
      <c r="GY10" t="e">
        <f>AND('VEL-LECT'!J51,"AAAAADQfl84=")</f>
        <v>#VALUE!</v>
      </c>
      <c r="GZ10" t="e">
        <f>AND('VEL-LECT'!K51,"AAAAADQfl88=")</f>
        <v>#VALUE!</v>
      </c>
      <c r="HA10" t="e">
        <f>AND('VEL-LECT'!L51,"AAAAADQfl9A=")</f>
        <v>#VALUE!</v>
      </c>
      <c r="HB10" t="e">
        <f>AND('VEL-LECT'!M51,"AAAAADQfl9E=")</f>
        <v>#VALUE!</v>
      </c>
      <c r="HC10" t="e">
        <f>AND('VEL-LECT'!N51,"AAAAADQfl9I=")</f>
        <v>#VALUE!</v>
      </c>
      <c r="HD10" t="e">
        <f>AND('VEL-LECT'!O51,"AAAAADQfl9M=")</f>
        <v>#VALUE!</v>
      </c>
      <c r="HE10" t="e">
        <f>AND('VEL-LECT'!P51,"AAAAADQfl9Q=")</f>
        <v>#VALUE!</v>
      </c>
      <c r="HF10" t="e">
        <f>AND('VEL-LECT'!Q51,"AAAAADQfl9U=")</f>
        <v>#VALUE!</v>
      </c>
      <c r="HG10" t="e">
        <f>AND('VEL-LECT'!R51,"AAAAADQfl9Y=")</f>
        <v>#VALUE!</v>
      </c>
      <c r="HH10" t="e">
        <f>AND('VEL-LECT'!S51,"AAAAADQfl9c=")</f>
        <v>#VALUE!</v>
      </c>
      <c r="HI10" t="e">
        <f>AND('VEL-LECT'!T51,"AAAAADQfl9g=")</f>
        <v>#VALUE!</v>
      </c>
      <c r="HJ10" t="e">
        <f>AND('VEL-LECT'!U51,"AAAAADQfl9k=")</f>
        <v>#VALUE!</v>
      </c>
      <c r="HK10" t="e">
        <f>AND('VEL-LECT'!V51,"AAAAADQfl9o=")</f>
        <v>#VALUE!</v>
      </c>
      <c r="HL10" t="e">
        <f>AND('VEL-LECT'!W51,"AAAAADQfl9s=")</f>
        <v>#VALUE!</v>
      </c>
      <c r="HM10" t="e">
        <f>AND('VEL-LECT'!X51,"AAAAADQfl9w=")</f>
        <v>#VALUE!</v>
      </c>
      <c r="HN10" t="e">
        <f>AND('VEL-LECT'!Y51,"AAAAADQfl90=")</f>
        <v>#VALUE!</v>
      </c>
      <c r="HO10" t="e">
        <f>AND('VEL-LECT'!Z51,"AAAAADQfl94=")</f>
        <v>#VALUE!</v>
      </c>
      <c r="HP10" t="e">
        <f>AND('VEL-LECT'!AA51,"AAAAADQfl98=")</f>
        <v>#VALUE!</v>
      </c>
      <c r="HQ10" t="e">
        <f>AND('VEL-LECT'!AB51,"AAAAADQfl+A=")</f>
        <v>#VALUE!</v>
      </c>
      <c r="HR10" t="e">
        <f>AND('VEL-LECT'!AC51,"AAAAADQfl+E=")</f>
        <v>#VALUE!</v>
      </c>
      <c r="HS10" t="e">
        <f>AND('VEL-LECT'!AD51,"AAAAADQfl+I=")</f>
        <v>#VALUE!</v>
      </c>
      <c r="HT10" t="e">
        <f>AND('VEL-LECT'!AE51,"AAAAADQfl+M=")</f>
        <v>#VALUE!</v>
      </c>
      <c r="HU10" t="e">
        <f>AND('VEL-LECT'!AF51,"AAAAADQfl+Q=")</f>
        <v>#VALUE!</v>
      </c>
      <c r="HV10" t="e">
        <f>AND('VEL-LECT'!AG51,"AAAAADQfl+U=")</f>
        <v>#VALUE!</v>
      </c>
      <c r="HW10" t="e">
        <f>AND('VEL-LECT'!AH51,"AAAAADQfl+Y=")</f>
        <v>#VALUE!</v>
      </c>
      <c r="HX10" t="e">
        <f>AND('VEL-LECT'!AI51,"AAAAADQfl+c=")</f>
        <v>#VALUE!</v>
      </c>
      <c r="HY10" t="e">
        <f>AND('VEL-LECT'!AJ51,"AAAAADQfl+g=")</f>
        <v>#VALUE!</v>
      </c>
      <c r="HZ10" t="e">
        <f>AND('VEL-LECT'!AK51,"AAAAADQfl+k=")</f>
        <v>#VALUE!</v>
      </c>
      <c r="IA10" t="e">
        <f>AND('VEL-LECT'!AL51,"AAAAADQfl+o=")</f>
        <v>#VALUE!</v>
      </c>
      <c r="IB10" t="e">
        <f>AND('VEL-LECT'!AM51,"AAAAADQfl+s=")</f>
        <v>#VALUE!</v>
      </c>
      <c r="IC10" t="e">
        <f>AND('VEL-LECT'!AN51,"AAAAADQfl+w=")</f>
        <v>#VALUE!</v>
      </c>
      <c r="ID10" t="e">
        <f>AND('VEL-LECT'!AO51,"AAAAADQfl+0=")</f>
        <v>#VALUE!</v>
      </c>
      <c r="IE10" t="e">
        <f>AND('VEL-LECT'!AP51,"AAAAADQfl+4=")</f>
        <v>#VALUE!</v>
      </c>
      <c r="IF10" t="e">
        <f>AND('VEL-LECT'!AQ51,"AAAAADQfl+8=")</f>
        <v>#VALUE!</v>
      </c>
      <c r="IG10" t="e">
        <f>AND('VEL-LECT'!AR51,"AAAAADQfl/A=")</f>
        <v>#VALUE!</v>
      </c>
      <c r="IH10" t="e">
        <f>AND('VEL-LECT'!AS51,"AAAAADQfl/E=")</f>
        <v>#VALUE!</v>
      </c>
      <c r="II10" t="e">
        <f>AND('VEL-LECT'!AT51,"AAAAADQfl/I=")</f>
        <v>#VALUE!</v>
      </c>
      <c r="IJ10" t="e">
        <f>AND('VEL-LECT'!AU51,"AAAAADQfl/M=")</f>
        <v>#VALUE!</v>
      </c>
      <c r="IK10" t="e">
        <f>AND('VEL-LECT'!AV51,"AAAAADQfl/Q=")</f>
        <v>#VALUE!</v>
      </c>
      <c r="IL10" t="e">
        <f>AND('VEL-LECT'!AW51,"AAAAADQfl/U=")</f>
        <v>#VALUE!</v>
      </c>
      <c r="IM10">
        <f>IF('VEL-LECT'!52:52,"AAAAADQfl/Y=",0)</f>
        <v>0</v>
      </c>
      <c r="IN10" t="e">
        <f>AND('VEL-LECT'!A52,"AAAAADQfl/c=")</f>
        <v>#VALUE!</v>
      </c>
      <c r="IO10" t="e">
        <f>AND('VEL-LECT'!B52,"AAAAADQfl/g=")</f>
        <v>#VALUE!</v>
      </c>
      <c r="IP10" t="e">
        <f>AND('VEL-LECT'!C52,"AAAAADQfl/k=")</f>
        <v>#VALUE!</v>
      </c>
      <c r="IQ10" t="e">
        <f>AND('VEL-LECT'!D52,"AAAAADQfl/o=")</f>
        <v>#VALUE!</v>
      </c>
      <c r="IR10" t="e">
        <f>AND('VEL-LECT'!E52,"AAAAADQfl/s=")</f>
        <v>#VALUE!</v>
      </c>
      <c r="IS10" t="e">
        <f>AND('VEL-LECT'!F52,"AAAAADQfl/w=")</f>
        <v>#VALUE!</v>
      </c>
      <c r="IT10" t="e">
        <f>AND('VEL-LECT'!G52,"AAAAADQfl/0=")</f>
        <v>#VALUE!</v>
      </c>
      <c r="IU10" t="e">
        <f>AND('VEL-LECT'!H52,"AAAAADQfl/4=")</f>
        <v>#VALUE!</v>
      </c>
      <c r="IV10" t="e">
        <f>AND('VEL-LECT'!I52,"AAAAADQfl/8=")</f>
        <v>#VALUE!</v>
      </c>
    </row>
    <row r="11" spans="1:256" ht="15">
      <c r="A11" t="e">
        <f>AND('VEL-LECT'!J52,"AAAAAH982wA=")</f>
        <v>#VALUE!</v>
      </c>
      <c r="B11" t="e">
        <f>AND('VEL-LECT'!K52,"AAAAAH982wE=")</f>
        <v>#VALUE!</v>
      </c>
      <c r="C11" t="e">
        <f>AND('VEL-LECT'!L52,"AAAAAH982wI=")</f>
        <v>#VALUE!</v>
      </c>
      <c r="D11" t="e">
        <f>AND('VEL-LECT'!M52,"AAAAAH982wM=")</f>
        <v>#VALUE!</v>
      </c>
      <c r="E11" t="e">
        <f>AND('VEL-LECT'!N52,"AAAAAH982wQ=")</f>
        <v>#VALUE!</v>
      </c>
      <c r="F11" t="e">
        <f>AND('VEL-LECT'!O52,"AAAAAH982wU=")</f>
        <v>#VALUE!</v>
      </c>
      <c r="G11" t="e">
        <f>AND('VEL-LECT'!P52,"AAAAAH982wY=")</f>
        <v>#VALUE!</v>
      </c>
      <c r="H11" t="e">
        <f>AND('VEL-LECT'!Q52,"AAAAAH982wc=")</f>
        <v>#VALUE!</v>
      </c>
      <c r="I11" t="e">
        <f>AND('VEL-LECT'!R52,"AAAAAH982wg=")</f>
        <v>#VALUE!</v>
      </c>
      <c r="J11" t="e">
        <f>AND('VEL-LECT'!S52,"AAAAAH982wk=")</f>
        <v>#VALUE!</v>
      </c>
      <c r="K11" t="e">
        <f>AND('VEL-LECT'!T52,"AAAAAH982wo=")</f>
        <v>#VALUE!</v>
      </c>
      <c r="L11" t="e">
        <f>AND('VEL-LECT'!U52,"AAAAAH982ws=")</f>
        <v>#VALUE!</v>
      </c>
      <c r="M11" t="e">
        <f>AND('VEL-LECT'!V52,"AAAAAH982ww=")</f>
        <v>#VALUE!</v>
      </c>
      <c r="N11" t="e">
        <f>AND('VEL-LECT'!W52,"AAAAAH982w0=")</f>
        <v>#VALUE!</v>
      </c>
      <c r="O11" t="e">
        <f>AND('VEL-LECT'!X52,"AAAAAH982w4=")</f>
        <v>#VALUE!</v>
      </c>
      <c r="P11" t="e">
        <f>AND('VEL-LECT'!Y52,"AAAAAH982w8=")</f>
        <v>#VALUE!</v>
      </c>
      <c r="Q11" t="e">
        <f>AND('VEL-LECT'!Z52,"AAAAAH982xA=")</f>
        <v>#VALUE!</v>
      </c>
      <c r="R11" t="e">
        <f>AND('VEL-LECT'!AA52,"AAAAAH982xE=")</f>
        <v>#VALUE!</v>
      </c>
      <c r="S11" t="e">
        <f>AND('VEL-LECT'!AB52,"AAAAAH982xI=")</f>
        <v>#VALUE!</v>
      </c>
      <c r="T11" t="e">
        <f>AND('VEL-LECT'!AC52,"AAAAAH982xM=")</f>
        <v>#VALUE!</v>
      </c>
      <c r="U11" t="e">
        <f>AND('VEL-LECT'!AD52,"AAAAAH982xQ=")</f>
        <v>#VALUE!</v>
      </c>
      <c r="V11" t="e">
        <f>AND('VEL-LECT'!AE52,"AAAAAH982xU=")</f>
        <v>#VALUE!</v>
      </c>
      <c r="W11" t="e">
        <f>AND('VEL-LECT'!AF52,"AAAAAH982xY=")</f>
        <v>#VALUE!</v>
      </c>
      <c r="X11" t="e">
        <f>AND('VEL-LECT'!AG52,"AAAAAH982xc=")</f>
        <v>#VALUE!</v>
      </c>
      <c r="Y11" t="e">
        <f>AND('VEL-LECT'!AH52,"AAAAAH982xg=")</f>
        <v>#VALUE!</v>
      </c>
      <c r="Z11" t="e">
        <f>AND('VEL-LECT'!AI52,"AAAAAH982xk=")</f>
        <v>#VALUE!</v>
      </c>
      <c r="AA11" t="e">
        <f>AND('VEL-LECT'!AJ52,"AAAAAH982xo=")</f>
        <v>#VALUE!</v>
      </c>
      <c r="AB11" t="e">
        <f>AND('VEL-LECT'!AK52,"AAAAAH982xs=")</f>
        <v>#VALUE!</v>
      </c>
      <c r="AC11" t="e">
        <f>AND('VEL-LECT'!AL52,"AAAAAH982xw=")</f>
        <v>#VALUE!</v>
      </c>
      <c r="AD11" t="e">
        <f>AND('VEL-LECT'!AM52,"AAAAAH982x0=")</f>
        <v>#VALUE!</v>
      </c>
      <c r="AE11" t="e">
        <f>AND('VEL-LECT'!AN52,"AAAAAH982x4=")</f>
        <v>#VALUE!</v>
      </c>
      <c r="AF11" t="e">
        <f>AND('VEL-LECT'!AO52,"AAAAAH982x8=")</f>
        <v>#VALUE!</v>
      </c>
      <c r="AG11" t="e">
        <f>AND('VEL-LECT'!AP52,"AAAAAH982yA=")</f>
        <v>#VALUE!</v>
      </c>
      <c r="AH11" t="e">
        <f>AND('VEL-LECT'!AQ52,"AAAAAH982yE=")</f>
        <v>#VALUE!</v>
      </c>
      <c r="AI11" t="e">
        <f>AND('VEL-LECT'!AR52,"AAAAAH982yI=")</f>
        <v>#VALUE!</v>
      </c>
      <c r="AJ11" t="e">
        <f>AND('VEL-LECT'!AS52,"AAAAAH982yM=")</f>
        <v>#VALUE!</v>
      </c>
      <c r="AK11" t="e">
        <f>AND('VEL-LECT'!AT52,"AAAAAH982yQ=")</f>
        <v>#VALUE!</v>
      </c>
      <c r="AL11" t="e">
        <f>AND('VEL-LECT'!AU52,"AAAAAH982yU=")</f>
        <v>#VALUE!</v>
      </c>
      <c r="AM11" t="e">
        <f>AND('VEL-LECT'!AV52,"AAAAAH982yY=")</f>
        <v>#VALUE!</v>
      </c>
      <c r="AN11" t="e">
        <f>AND('VEL-LECT'!AW52,"AAAAAH982yc=")</f>
        <v>#VALUE!</v>
      </c>
      <c r="AO11">
        <f>IF('VEL-LECT'!53:53,"AAAAAH982yg=",0)</f>
        <v>0</v>
      </c>
      <c r="AP11" t="e">
        <f>AND('VEL-LECT'!A53,"AAAAAH982yk=")</f>
        <v>#VALUE!</v>
      </c>
      <c r="AQ11" t="e">
        <f>AND('VEL-LECT'!B53,"AAAAAH982yo=")</f>
        <v>#VALUE!</v>
      </c>
      <c r="AR11" t="e">
        <f>AND('VEL-LECT'!C53,"AAAAAH982ys=")</f>
        <v>#VALUE!</v>
      </c>
      <c r="AS11" t="e">
        <f>AND('VEL-LECT'!D53,"AAAAAH982yw=")</f>
        <v>#VALUE!</v>
      </c>
      <c r="AT11" t="e">
        <f>AND('VEL-LECT'!E53,"AAAAAH982y0=")</f>
        <v>#VALUE!</v>
      </c>
      <c r="AU11" t="e">
        <f>AND('VEL-LECT'!F53,"AAAAAH982y4=")</f>
        <v>#VALUE!</v>
      </c>
      <c r="AV11" t="e">
        <f>AND('VEL-LECT'!G53,"AAAAAH982y8=")</f>
        <v>#VALUE!</v>
      </c>
      <c r="AW11" t="e">
        <f>AND('VEL-LECT'!H53,"AAAAAH982zA=")</f>
        <v>#VALUE!</v>
      </c>
      <c r="AX11" t="e">
        <f>AND('VEL-LECT'!I53,"AAAAAH982zE=")</f>
        <v>#VALUE!</v>
      </c>
      <c r="AY11" t="e">
        <f>AND('VEL-LECT'!J53,"AAAAAH982zI=")</f>
        <v>#VALUE!</v>
      </c>
      <c r="AZ11" t="e">
        <f>AND('VEL-LECT'!K53,"AAAAAH982zM=")</f>
        <v>#VALUE!</v>
      </c>
      <c r="BA11" t="e">
        <f>AND('VEL-LECT'!L53,"AAAAAH982zQ=")</f>
        <v>#VALUE!</v>
      </c>
      <c r="BB11" t="e">
        <f>AND('VEL-LECT'!M53,"AAAAAH982zU=")</f>
        <v>#VALUE!</v>
      </c>
      <c r="BC11" t="e">
        <f>AND('VEL-LECT'!N53,"AAAAAH982zY=")</f>
        <v>#VALUE!</v>
      </c>
      <c r="BD11" t="e">
        <f>AND('VEL-LECT'!O53,"AAAAAH982zc=")</f>
        <v>#VALUE!</v>
      </c>
      <c r="BE11" t="e">
        <f>AND('VEL-LECT'!P53,"AAAAAH982zg=")</f>
        <v>#VALUE!</v>
      </c>
      <c r="BF11" t="e">
        <f>AND('VEL-LECT'!Q53,"AAAAAH982zk=")</f>
        <v>#VALUE!</v>
      </c>
      <c r="BG11" t="e">
        <f>AND('VEL-LECT'!R53,"AAAAAH982zo=")</f>
        <v>#VALUE!</v>
      </c>
      <c r="BH11" t="e">
        <f>AND('VEL-LECT'!S53,"AAAAAH982zs=")</f>
        <v>#VALUE!</v>
      </c>
      <c r="BI11" t="e">
        <f>AND('VEL-LECT'!T53,"AAAAAH982zw=")</f>
        <v>#VALUE!</v>
      </c>
      <c r="BJ11" t="e">
        <f>AND('VEL-LECT'!U53,"AAAAAH982z0=")</f>
        <v>#VALUE!</v>
      </c>
      <c r="BK11" t="e">
        <f>AND('VEL-LECT'!V53,"AAAAAH982z4=")</f>
        <v>#VALUE!</v>
      </c>
      <c r="BL11" t="e">
        <f>AND('VEL-LECT'!W53,"AAAAAH982z8=")</f>
        <v>#VALUE!</v>
      </c>
      <c r="BM11" t="e">
        <f>AND('VEL-LECT'!X53,"AAAAAH9820A=")</f>
        <v>#VALUE!</v>
      </c>
      <c r="BN11" t="e">
        <f>AND('VEL-LECT'!Y53,"AAAAAH9820E=")</f>
        <v>#VALUE!</v>
      </c>
      <c r="BO11" t="e">
        <f>AND('VEL-LECT'!Z53,"AAAAAH9820I=")</f>
        <v>#VALUE!</v>
      </c>
      <c r="BP11" t="e">
        <f>AND('VEL-LECT'!AA53,"AAAAAH9820M=")</f>
        <v>#VALUE!</v>
      </c>
      <c r="BQ11" t="e">
        <f>AND('VEL-LECT'!AB53,"AAAAAH9820Q=")</f>
        <v>#VALUE!</v>
      </c>
      <c r="BR11" t="e">
        <f>AND('VEL-LECT'!AC53,"AAAAAH9820U=")</f>
        <v>#VALUE!</v>
      </c>
      <c r="BS11" t="e">
        <f>AND('VEL-LECT'!AD53,"AAAAAH9820Y=")</f>
        <v>#VALUE!</v>
      </c>
      <c r="BT11" t="e">
        <f>AND('VEL-LECT'!AE53,"AAAAAH9820c=")</f>
        <v>#VALUE!</v>
      </c>
      <c r="BU11" t="e">
        <f>AND('VEL-LECT'!AF53,"AAAAAH9820g=")</f>
        <v>#VALUE!</v>
      </c>
      <c r="BV11" t="e">
        <f>AND('VEL-LECT'!AG53,"AAAAAH9820k=")</f>
        <v>#VALUE!</v>
      </c>
      <c r="BW11" t="e">
        <f>AND('VEL-LECT'!AH53,"AAAAAH9820o=")</f>
        <v>#VALUE!</v>
      </c>
      <c r="BX11" t="e">
        <f>AND('VEL-LECT'!AI53,"AAAAAH9820s=")</f>
        <v>#VALUE!</v>
      </c>
      <c r="BY11" t="e">
        <f>AND('VEL-LECT'!AJ53,"AAAAAH9820w=")</f>
        <v>#VALUE!</v>
      </c>
      <c r="BZ11" t="e">
        <f>AND('VEL-LECT'!AK53,"AAAAAH98200=")</f>
        <v>#VALUE!</v>
      </c>
      <c r="CA11" t="e">
        <f>AND('VEL-LECT'!AL53,"AAAAAH98204=")</f>
        <v>#VALUE!</v>
      </c>
      <c r="CB11" t="e">
        <f>AND('VEL-LECT'!AM53,"AAAAAH98208=")</f>
        <v>#VALUE!</v>
      </c>
      <c r="CC11" t="e">
        <f>AND('VEL-LECT'!AN53,"AAAAAH9821A=")</f>
        <v>#VALUE!</v>
      </c>
      <c r="CD11" t="e">
        <f>AND('VEL-LECT'!AO53,"AAAAAH9821E=")</f>
        <v>#VALUE!</v>
      </c>
      <c r="CE11" t="e">
        <f>AND('VEL-LECT'!AP53,"AAAAAH9821I=")</f>
        <v>#VALUE!</v>
      </c>
      <c r="CF11" t="e">
        <f>AND('VEL-LECT'!AQ53,"AAAAAH9821M=")</f>
        <v>#VALUE!</v>
      </c>
      <c r="CG11" t="e">
        <f>AND('VEL-LECT'!AR53,"AAAAAH9821Q=")</f>
        <v>#VALUE!</v>
      </c>
      <c r="CH11" t="e">
        <f>AND('VEL-LECT'!AS53,"AAAAAH9821U=")</f>
        <v>#VALUE!</v>
      </c>
      <c r="CI11" t="e">
        <f>AND('VEL-LECT'!AT53,"AAAAAH9821Y=")</f>
        <v>#VALUE!</v>
      </c>
      <c r="CJ11" t="e">
        <f>AND('VEL-LECT'!AU53,"AAAAAH9821c=")</f>
        <v>#VALUE!</v>
      </c>
      <c r="CK11" t="e">
        <f>AND('VEL-LECT'!AV53,"AAAAAH9821g=")</f>
        <v>#VALUE!</v>
      </c>
      <c r="CL11" t="e">
        <f>AND('VEL-LECT'!AW53,"AAAAAH9821k=")</f>
        <v>#VALUE!</v>
      </c>
      <c r="CM11">
        <f>IF('VEL-LECT'!54:54,"AAAAAH9821o=",0)</f>
        <v>0</v>
      </c>
      <c r="CN11" t="e">
        <f>AND('VEL-LECT'!A54,"AAAAAH9821s=")</f>
        <v>#VALUE!</v>
      </c>
      <c r="CO11" t="e">
        <f>AND('VEL-LECT'!B54,"AAAAAH9821w=")</f>
        <v>#VALUE!</v>
      </c>
      <c r="CP11" t="e">
        <f>AND('VEL-LECT'!C54,"AAAAAH98210=")</f>
        <v>#VALUE!</v>
      </c>
      <c r="CQ11" t="e">
        <f>AND('VEL-LECT'!D54,"AAAAAH98214=")</f>
        <v>#VALUE!</v>
      </c>
      <c r="CR11" t="e">
        <f>AND('VEL-LECT'!E54,"AAAAAH98218=")</f>
        <v>#VALUE!</v>
      </c>
      <c r="CS11" t="e">
        <f>AND('VEL-LECT'!F54,"AAAAAH9822A=")</f>
        <v>#VALUE!</v>
      </c>
      <c r="CT11" t="e">
        <f>AND('VEL-LECT'!G54,"AAAAAH9822E=")</f>
        <v>#VALUE!</v>
      </c>
      <c r="CU11" t="e">
        <f>AND('VEL-LECT'!H54,"AAAAAH9822I=")</f>
        <v>#VALUE!</v>
      </c>
      <c r="CV11" t="e">
        <f>AND('VEL-LECT'!I54,"AAAAAH9822M=")</f>
        <v>#VALUE!</v>
      </c>
      <c r="CW11" t="e">
        <f>AND('VEL-LECT'!J54,"AAAAAH9822Q=")</f>
        <v>#VALUE!</v>
      </c>
      <c r="CX11" t="e">
        <f>AND('VEL-LECT'!K54,"AAAAAH9822U=")</f>
        <v>#VALUE!</v>
      </c>
      <c r="CY11" t="e">
        <f>AND('VEL-LECT'!L54,"AAAAAH9822Y=")</f>
        <v>#VALUE!</v>
      </c>
      <c r="CZ11" t="e">
        <f>AND('VEL-LECT'!M54,"AAAAAH9822c=")</f>
        <v>#VALUE!</v>
      </c>
      <c r="DA11" t="e">
        <f>AND('VEL-LECT'!N54,"AAAAAH9822g=")</f>
        <v>#VALUE!</v>
      </c>
      <c r="DB11" t="e">
        <f>AND('VEL-LECT'!O54,"AAAAAH9822k=")</f>
        <v>#VALUE!</v>
      </c>
      <c r="DC11" t="e">
        <f>AND('VEL-LECT'!P54,"AAAAAH9822o=")</f>
        <v>#VALUE!</v>
      </c>
      <c r="DD11" t="e">
        <f>AND('VEL-LECT'!Q54,"AAAAAH9822s=")</f>
        <v>#VALUE!</v>
      </c>
      <c r="DE11" t="e">
        <f>AND('VEL-LECT'!R54,"AAAAAH9822w=")</f>
        <v>#VALUE!</v>
      </c>
      <c r="DF11" t="e">
        <f>AND('VEL-LECT'!S54,"AAAAAH98220=")</f>
        <v>#VALUE!</v>
      </c>
      <c r="DG11" t="e">
        <f>AND('VEL-LECT'!T54,"AAAAAH98224=")</f>
        <v>#VALUE!</v>
      </c>
      <c r="DH11" t="e">
        <f>AND('VEL-LECT'!U54,"AAAAAH98228=")</f>
        <v>#VALUE!</v>
      </c>
      <c r="DI11" t="e">
        <f>AND('VEL-LECT'!V54,"AAAAAH9823A=")</f>
        <v>#VALUE!</v>
      </c>
      <c r="DJ11" t="e">
        <f>AND('VEL-LECT'!W54,"AAAAAH9823E=")</f>
        <v>#VALUE!</v>
      </c>
      <c r="DK11" t="e">
        <f>AND('VEL-LECT'!X54,"AAAAAH9823I=")</f>
        <v>#VALUE!</v>
      </c>
      <c r="DL11" t="e">
        <f>AND('VEL-LECT'!Y54,"AAAAAH9823M=")</f>
        <v>#VALUE!</v>
      </c>
      <c r="DM11" t="e">
        <f>AND('VEL-LECT'!Z54,"AAAAAH9823Q=")</f>
        <v>#VALUE!</v>
      </c>
      <c r="DN11" t="e">
        <f>AND('VEL-LECT'!AA54,"AAAAAH9823U=")</f>
        <v>#VALUE!</v>
      </c>
      <c r="DO11" t="e">
        <f>AND('VEL-LECT'!AB54,"AAAAAH9823Y=")</f>
        <v>#VALUE!</v>
      </c>
      <c r="DP11" t="e">
        <f>AND('VEL-LECT'!AC54,"AAAAAH9823c=")</f>
        <v>#VALUE!</v>
      </c>
      <c r="DQ11" t="e">
        <f>AND('VEL-LECT'!AD54,"AAAAAH9823g=")</f>
        <v>#VALUE!</v>
      </c>
      <c r="DR11" t="e">
        <f>AND('VEL-LECT'!AE54,"AAAAAH9823k=")</f>
        <v>#VALUE!</v>
      </c>
      <c r="DS11" t="e">
        <f>AND('VEL-LECT'!AF54,"AAAAAH9823o=")</f>
        <v>#VALUE!</v>
      </c>
      <c r="DT11" t="e">
        <f>AND('VEL-LECT'!AG54,"AAAAAH9823s=")</f>
        <v>#VALUE!</v>
      </c>
      <c r="DU11" t="e">
        <f>AND('VEL-LECT'!AH54,"AAAAAH9823w=")</f>
        <v>#VALUE!</v>
      </c>
      <c r="DV11" t="e">
        <f>AND('VEL-LECT'!AI54,"AAAAAH98230=")</f>
        <v>#VALUE!</v>
      </c>
      <c r="DW11" t="e">
        <f>AND('VEL-LECT'!AJ54,"AAAAAH98234=")</f>
        <v>#VALUE!</v>
      </c>
      <c r="DX11" t="e">
        <f>AND('VEL-LECT'!AK54,"AAAAAH98238=")</f>
        <v>#VALUE!</v>
      </c>
      <c r="DY11" t="e">
        <f>AND('VEL-LECT'!AL54,"AAAAAH9824A=")</f>
        <v>#VALUE!</v>
      </c>
      <c r="DZ11" t="e">
        <f>AND('VEL-LECT'!AM54,"AAAAAH9824E=")</f>
        <v>#VALUE!</v>
      </c>
      <c r="EA11" t="e">
        <f>AND('VEL-LECT'!AN54,"AAAAAH9824I=")</f>
        <v>#VALUE!</v>
      </c>
      <c r="EB11" t="e">
        <f>AND('VEL-LECT'!AO54,"AAAAAH9824M=")</f>
        <v>#VALUE!</v>
      </c>
      <c r="EC11" t="e">
        <f>AND('VEL-LECT'!AP54,"AAAAAH9824Q=")</f>
        <v>#VALUE!</v>
      </c>
      <c r="ED11" t="e">
        <f>AND('VEL-LECT'!AQ54,"AAAAAH9824U=")</f>
        <v>#VALUE!</v>
      </c>
      <c r="EE11" t="e">
        <f>AND('VEL-LECT'!AR54,"AAAAAH9824Y=")</f>
        <v>#VALUE!</v>
      </c>
      <c r="EF11" t="e">
        <f>AND('VEL-LECT'!AS54,"AAAAAH9824c=")</f>
        <v>#VALUE!</v>
      </c>
      <c r="EG11" t="e">
        <f>AND('VEL-LECT'!AT54,"AAAAAH9824g=")</f>
        <v>#VALUE!</v>
      </c>
      <c r="EH11" t="e">
        <f>AND('VEL-LECT'!AU54,"AAAAAH9824k=")</f>
        <v>#VALUE!</v>
      </c>
      <c r="EI11" t="e">
        <f>AND('VEL-LECT'!AV54,"AAAAAH9824o=")</f>
        <v>#VALUE!</v>
      </c>
      <c r="EJ11" t="e">
        <f>AND('VEL-LECT'!AW54,"AAAAAH9824s=")</f>
        <v>#VALUE!</v>
      </c>
      <c r="EK11">
        <f>IF('VEL-LECT'!55:55,"AAAAAH9824w=",0)</f>
        <v>0</v>
      </c>
      <c r="EL11" t="e">
        <f>AND('VEL-LECT'!A55,"AAAAAH98240=")</f>
        <v>#VALUE!</v>
      </c>
      <c r="EM11" t="e">
        <f>AND('VEL-LECT'!B55,"AAAAAH98244=")</f>
        <v>#VALUE!</v>
      </c>
      <c r="EN11" t="e">
        <f>AND('VEL-LECT'!C55,"AAAAAH98248=")</f>
        <v>#VALUE!</v>
      </c>
      <c r="EO11" t="e">
        <f>AND('VEL-LECT'!D55,"AAAAAH9825A=")</f>
        <v>#VALUE!</v>
      </c>
      <c r="EP11" t="e">
        <f>AND('VEL-LECT'!E55,"AAAAAH9825E=")</f>
        <v>#VALUE!</v>
      </c>
      <c r="EQ11" t="e">
        <f>AND('VEL-LECT'!F55,"AAAAAH9825I=")</f>
        <v>#VALUE!</v>
      </c>
      <c r="ER11" t="e">
        <f>AND('VEL-LECT'!G55,"AAAAAH9825M=")</f>
        <v>#VALUE!</v>
      </c>
      <c r="ES11" t="e">
        <f>AND('VEL-LECT'!H55,"AAAAAH9825Q=")</f>
        <v>#VALUE!</v>
      </c>
      <c r="ET11" t="e">
        <f>AND('VEL-LECT'!I55,"AAAAAH9825U=")</f>
        <v>#VALUE!</v>
      </c>
      <c r="EU11" t="e">
        <f>AND('VEL-LECT'!J55,"AAAAAH9825Y=")</f>
        <v>#VALUE!</v>
      </c>
      <c r="EV11" t="e">
        <f>AND('VEL-LECT'!K55,"AAAAAH9825c=")</f>
        <v>#VALUE!</v>
      </c>
      <c r="EW11" t="e">
        <f>AND('VEL-LECT'!L55,"AAAAAH9825g=")</f>
        <v>#VALUE!</v>
      </c>
      <c r="EX11" t="e">
        <f>AND('VEL-LECT'!M55,"AAAAAH9825k=")</f>
        <v>#VALUE!</v>
      </c>
      <c r="EY11" t="e">
        <f>AND('VEL-LECT'!N55,"AAAAAH9825o=")</f>
        <v>#VALUE!</v>
      </c>
      <c r="EZ11" t="e">
        <f>AND('VEL-LECT'!O55,"AAAAAH9825s=")</f>
        <v>#VALUE!</v>
      </c>
      <c r="FA11" t="e">
        <f>AND('VEL-LECT'!P55,"AAAAAH9825w=")</f>
        <v>#VALUE!</v>
      </c>
      <c r="FB11" t="e">
        <f>AND('VEL-LECT'!Q55,"AAAAAH98250=")</f>
        <v>#VALUE!</v>
      </c>
      <c r="FC11" t="e">
        <f>AND('VEL-LECT'!R55,"AAAAAH98254=")</f>
        <v>#VALUE!</v>
      </c>
      <c r="FD11" t="e">
        <f>AND('VEL-LECT'!S55,"AAAAAH98258=")</f>
        <v>#VALUE!</v>
      </c>
      <c r="FE11" t="e">
        <f>AND('VEL-LECT'!T55,"AAAAAH9826A=")</f>
        <v>#VALUE!</v>
      </c>
      <c r="FF11" t="e">
        <f>AND('VEL-LECT'!U55,"AAAAAH9826E=")</f>
        <v>#VALUE!</v>
      </c>
      <c r="FG11" t="e">
        <f>AND('VEL-LECT'!V55,"AAAAAH9826I=")</f>
        <v>#VALUE!</v>
      </c>
      <c r="FH11" t="e">
        <f>AND('VEL-LECT'!W55,"AAAAAH9826M=")</f>
        <v>#VALUE!</v>
      </c>
      <c r="FI11" t="e">
        <f>AND('VEL-LECT'!X55,"AAAAAH9826Q=")</f>
        <v>#VALUE!</v>
      </c>
      <c r="FJ11" t="e">
        <f>AND('VEL-LECT'!Y55,"AAAAAH9826U=")</f>
        <v>#VALUE!</v>
      </c>
      <c r="FK11" t="e">
        <f>AND('VEL-LECT'!Z55,"AAAAAH9826Y=")</f>
        <v>#VALUE!</v>
      </c>
      <c r="FL11" t="e">
        <f>AND('VEL-LECT'!AA55,"AAAAAH9826c=")</f>
        <v>#VALUE!</v>
      </c>
      <c r="FM11" t="e">
        <f>AND('VEL-LECT'!AB55,"AAAAAH9826g=")</f>
        <v>#VALUE!</v>
      </c>
      <c r="FN11" t="e">
        <f>AND('VEL-LECT'!AC55,"AAAAAH9826k=")</f>
        <v>#VALUE!</v>
      </c>
      <c r="FO11" t="e">
        <f>AND('VEL-LECT'!AD55,"AAAAAH9826o=")</f>
        <v>#VALUE!</v>
      </c>
      <c r="FP11" t="e">
        <f>AND('VEL-LECT'!AE55,"AAAAAH9826s=")</f>
        <v>#VALUE!</v>
      </c>
      <c r="FQ11" t="e">
        <f>AND('VEL-LECT'!AF55,"AAAAAH9826w=")</f>
        <v>#VALUE!</v>
      </c>
      <c r="FR11" t="e">
        <f>AND('VEL-LECT'!AG55,"AAAAAH98260=")</f>
        <v>#VALUE!</v>
      </c>
      <c r="FS11" t="e">
        <f>AND('VEL-LECT'!AH55,"AAAAAH98264=")</f>
        <v>#VALUE!</v>
      </c>
      <c r="FT11" t="e">
        <f>AND('VEL-LECT'!AI55,"AAAAAH98268=")</f>
        <v>#VALUE!</v>
      </c>
      <c r="FU11" t="e">
        <f>AND('VEL-LECT'!AJ55,"AAAAAH9827A=")</f>
        <v>#VALUE!</v>
      </c>
      <c r="FV11" t="e">
        <f>AND('VEL-LECT'!AK55,"AAAAAH9827E=")</f>
        <v>#VALUE!</v>
      </c>
      <c r="FW11" t="e">
        <f>AND('VEL-LECT'!AL55,"AAAAAH9827I=")</f>
        <v>#VALUE!</v>
      </c>
      <c r="FX11" t="e">
        <f>AND('VEL-LECT'!AM55,"AAAAAH9827M=")</f>
        <v>#VALUE!</v>
      </c>
      <c r="FY11" t="e">
        <f>AND('VEL-LECT'!AN55,"AAAAAH9827Q=")</f>
        <v>#VALUE!</v>
      </c>
      <c r="FZ11" t="e">
        <f>AND('VEL-LECT'!AO55,"AAAAAH9827U=")</f>
        <v>#VALUE!</v>
      </c>
      <c r="GA11" t="e">
        <f>AND('VEL-LECT'!AP55,"AAAAAH9827Y=")</f>
        <v>#VALUE!</v>
      </c>
      <c r="GB11" t="e">
        <f>AND('VEL-LECT'!AQ55,"AAAAAH9827c=")</f>
        <v>#VALUE!</v>
      </c>
      <c r="GC11" t="e">
        <f>AND('VEL-LECT'!AR55,"AAAAAH9827g=")</f>
        <v>#VALUE!</v>
      </c>
      <c r="GD11" t="e">
        <f>AND('VEL-LECT'!AS55,"AAAAAH9827k=")</f>
        <v>#VALUE!</v>
      </c>
      <c r="GE11" t="e">
        <f>AND('VEL-LECT'!AT55,"AAAAAH9827o=")</f>
        <v>#VALUE!</v>
      </c>
      <c r="GF11" t="e">
        <f>AND('VEL-LECT'!AU55,"AAAAAH9827s=")</f>
        <v>#VALUE!</v>
      </c>
      <c r="GG11" t="e">
        <f>AND('VEL-LECT'!AV55,"AAAAAH9827w=")</f>
        <v>#VALUE!</v>
      </c>
      <c r="GH11" t="e">
        <f>AND('VEL-LECT'!AW55,"AAAAAH98270=")</f>
        <v>#VALUE!</v>
      </c>
      <c r="GI11">
        <f>IF('VEL-LECT'!56:56,"AAAAAH98274=",0)</f>
        <v>0</v>
      </c>
      <c r="GJ11" t="e">
        <f>AND('VEL-LECT'!A56,"AAAAAH98278=")</f>
        <v>#VALUE!</v>
      </c>
      <c r="GK11" t="e">
        <f>AND('VEL-LECT'!B56,"AAAAAH9828A=")</f>
        <v>#VALUE!</v>
      </c>
      <c r="GL11" t="e">
        <f>AND('VEL-LECT'!C56,"AAAAAH9828E=")</f>
        <v>#VALUE!</v>
      </c>
      <c r="GM11" t="e">
        <f>AND('VEL-LECT'!D56,"AAAAAH9828I=")</f>
        <v>#VALUE!</v>
      </c>
      <c r="GN11" t="e">
        <f>AND('VEL-LECT'!E56,"AAAAAH9828M=")</f>
        <v>#VALUE!</v>
      </c>
      <c r="GO11" t="e">
        <f>AND('VEL-LECT'!F56,"AAAAAH9828Q=")</f>
        <v>#VALUE!</v>
      </c>
      <c r="GP11" t="e">
        <f>AND('VEL-LECT'!G56,"AAAAAH9828U=")</f>
        <v>#VALUE!</v>
      </c>
      <c r="GQ11" t="e">
        <f>AND('VEL-LECT'!H56,"AAAAAH9828Y=")</f>
        <v>#VALUE!</v>
      </c>
      <c r="GR11" t="e">
        <f>AND('VEL-LECT'!I56,"AAAAAH9828c=")</f>
        <v>#VALUE!</v>
      </c>
      <c r="GS11" t="e">
        <f>AND('VEL-LECT'!J56,"AAAAAH9828g=")</f>
        <v>#VALUE!</v>
      </c>
      <c r="GT11" t="e">
        <f>AND('VEL-LECT'!K56,"AAAAAH9828k=")</f>
        <v>#VALUE!</v>
      </c>
      <c r="GU11" t="e">
        <f>AND('VEL-LECT'!L56,"AAAAAH9828o=")</f>
        <v>#VALUE!</v>
      </c>
      <c r="GV11" t="e">
        <f>AND('VEL-LECT'!M56,"AAAAAH9828s=")</f>
        <v>#VALUE!</v>
      </c>
      <c r="GW11" t="e">
        <f>AND('VEL-LECT'!N56,"AAAAAH9828w=")</f>
        <v>#VALUE!</v>
      </c>
      <c r="GX11" t="e">
        <f>AND('VEL-LECT'!O56,"AAAAAH98280=")</f>
        <v>#VALUE!</v>
      </c>
      <c r="GY11" t="e">
        <f>AND('VEL-LECT'!P56,"AAAAAH98284=")</f>
        <v>#VALUE!</v>
      </c>
      <c r="GZ11" t="e">
        <f>AND('VEL-LECT'!Q56,"AAAAAH98288=")</f>
        <v>#VALUE!</v>
      </c>
      <c r="HA11" t="e">
        <f>AND('VEL-LECT'!R56,"AAAAAH9829A=")</f>
        <v>#VALUE!</v>
      </c>
      <c r="HB11" t="e">
        <f>AND('VEL-LECT'!S56,"AAAAAH9829E=")</f>
        <v>#VALUE!</v>
      </c>
      <c r="HC11" t="e">
        <f>AND('VEL-LECT'!T56,"AAAAAH9829I=")</f>
        <v>#VALUE!</v>
      </c>
      <c r="HD11" t="e">
        <f>AND('VEL-LECT'!U56,"AAAAAH9829M=")</f>
        <v>#VALUE!</v>
      </c>
      <c r="HE11" t="e">
        <f>AND('VEL-LECT'!V56,"AAAAAH9829Q=")</f>
        <v>#VALUE!</v>
      </c>
      <c r="HF11" t="e">
        <f>AND('VEL-LECT'!W56,"AAAAAH9829U=")</f>
        <v>#VALUE!</v>
      </c>
      <c r="HG11" t="e">
        <f>AND('VEL-LECT'!X56,"AAAAAH9829Y=")</f>
        <v>#VALUE!</v>
      </c>
      <c r="HH11" t="e">
        <f>AND('VEL-LECT'!Y56,"AAAAAH9829c=")</f>
        <v>#VALUE!</v>
      </c>
      <c r="HI11" t="e">
        <f>AND('VEL-LECT'!Z56,"AAAAAH9829g=")</f>
        <v>#VALUE!</v>
      </c>
      <c r="HJ11" t="e">
        <f>AND('VEL-LECT'!AA56,"AAAAAH9829k=")</f>
        <v>#VALUE!</v>
      </c>
      <c r="HK11" t="e">
        <f>AND('VEL-LECT'!AB56,"AAAAAH9829o=")</f>
        <v>#VALUE!</v>
      </c>
      <c r="HL11" t="e">
        <f>AND('VEL-LECT'!AC56,"AAAAAH9829s=")</f>
        <v>#VALUE!</v>
      </c>
      <c r="HM11" t="e">
        <f>AND('VEL-LECT'!AD56,"AAAAAH9829w=")</f>
        <v>#VALUE!</v>
      </c>
      <c r="HN11" t="e">
        <f>AND('VEL-LECT'!AE56,"AAAAAH98290=")</f>
        <v>#VALUE!</v>
      </c>
      <c r="HO11" t="e">
        <f>AND('VEL-LECT'!AF56,"AAAAAH98294=")</f>
        <v>#VALUE!</v>
      </c>
      <c r="HP11" t="e">
        <f>AND('VEL-LECT'!AG56,"AAAAAH98298=")</f>
        <v>#VALUE!</v>
      </c>
      <c r="HQ11" t="e">
        <f>AND('VEL-LECT'!AH56,"AAAAAH982+A=")</f>
        <v>#VALUE!</v>
      </c>
      <c r="HR11" t="e">
        <f>AND('VEL-LECT'!AI56,"AAAAAH982+E=")</f>
        <v>#VALUE!</v>
      </c>
      <c r="HS11" t="e">
        <f>AND('VEL-LECT'!AJ56,"AAAAAH982+I=")</f>
        <v>#VALUE!</v>
      </c>
      <c r="HT11" t="e">
        <f>AND('VEL-LECT'!AK56,"AAAAAH982+M=")</f>
        <v>#VALUE!</v>
      </c>
      <c r="HU11" t="e">
        <f>AND('VEL-LECT'!AL56,"AAAAAH982+Q=")</f>
        <v>#VALUE!</v>
      </c>
      <c r="HV11" t="e">
        <f>AND('VEL-LECT'!AM56,"AAAAAH982+U=")</f>
        <v>#VALUE!</v>
      </c>
      <c r="HW11" t="e">
        <f>AND('VEL-LECT'!AN56,"AAAAAH982+Y=")</f>
        <v>#VALUE!</v>
      </c>
      <c r="HX11" t="e">
        <f>AND('VEL-LECT'!AO56,"AAAAAH982+c=")</f>
        <v>#VALUE!</v>
      </c>
      <c r="HY11" t="e">
        <f>AND('VEL-LECT'!AP56,"AAAAAH982+g=")</f>
        <v>#VALUE!</v>
      </c>
      <c r="HZ11" t="e">
        <f>AND('VEL-LECT'!AQ56,"AAAAAH982+k=")</f>
        <v>#VALUE!</v>
      </c>
      <c r="IA11" t="e">
        <f>AND('VEL-LECT'!AR56,"AAAAAH982+o=")</f>
        <v>#VALUE!</v>
      </c>
      <c r="IB11" t="e">
        <f>AND('VEL-LECT'!AS56,"AAAAAH982+s=")</f>
        <v>#VALUE!</v>
      </c>
      <c r="IC11" t="e">
        <f>AND('VEL-LECT'!AT56,"AAAAAH982+w=")</f>
        <v>#VALUE!</v>
      </c>
      <c r="ID11" t="e">
        <f>AND('VEL-LECT'!AU56,"AAAAAH982+0=")</f>
        <v>#VALUE!</v>
      </c>
      <c r="IE11" t="e">
        <f>AND('VEL-LECT'!AV56,"AAAAAH982+4=")</f>
        <v>#VALUE!</v>
      </c>
      <c r="IF11" t="e">
        <f>AND('VEL-LECT'!AW56,"AAAAAH982+8=")</f>
        <v>#VALUE!</v>
      </c>
      <c r="IG11">
        <f>IF('VEL-LECT'!57:57,"AAAAAH982/A=",0)</f>
        <v>0</v>
      </c>
      <c r="IH11" t="e">
        <f>AND('VEL-LECT'!A57,"AAAAAH982/E=")</f>
        <v>#VALUE!</v>
      </c>
      <c r="II11" t="e">
        <f>AND('VEL-LECT'!B57,"AAAAAH982/I=")</f>
        <v>#VALUE!</v>
      </c>
      <c r="IJ11" t="e">
        <f>AND('VEL-LECT'!C57,"AAAAAH982/M=")</f>
        <v>#VALUE!</v>
      </c>
      <c r="IK11" t="e">
        <f>AND('VEL-LECT'!D57,"AAAAAH982/Q=")</f>
        <v>#VALUE!</v>
      </c>
      <c r="IL11" t="e">
        <f>AND('VEL-LECT'!E57,"AAAAAH982/U=")</f>
        <v>#VALUE!</v>
      </c>
      <c r="IM11" t="e">
        <f>AND('VEL-LECT'!F57,"AAAAAH982/Y=")</f>
        <v>#VALUE!</v>
      </c>
      <c r="IN11" t="e">
        <f>AND('VEL-LECT'!G57,"AAAAAH982/c=")</f>
        <v>#VALUE!</v>
      </c>
      <c r="IO11" t="e">
        <f>AND('VEL-LECT'!H57,"AAAAAH982/g=")</f>
        <v>#VALUE!</v>
      </c>
      <c r="IP11" t="e">
        <f>AND('VEL-LECT'!I57,"AAAAAH982/k=")</f>
        <v>#VALUE!</v>
      </c>
      <c r="IQ11" t="e">
        <f>AND('VEL-LECT'!J57,"AAAAAH982/o=")</f>
        <v>#VALUE!</v>
      </c>
      <c r="IR11" t="e">
        <f>AND('VEL-LECT'!K57,"AAAAAH982/s=")</f>
        <v>#VALUE!</v>
      </c>
      <c r="IS11" t="e">
        <f>AND('VEL-LECT'!L57,"AAAAAH982/w=")</f>
        <v>#VALUE!</v>
      </c>
      <c r="IT11" t="e">
        <f>AND('VEL-LECT'!M57,"AAAAAH982/0=")</f>
        <v>#VALUE!</v>
      </c>
      <c r="IU11" t="e">
        <f>AND('VEL-LECT'!N57,"AAAAAH982/4=")</f>
        <v>#VALUE!</v>
      </c>
      <c r="IV11" t="e">
        <f>AND('VEL-LECT'!O57,"AAAAAH982/8=")</f>
        <v>#VALUE!</v>
      </c>
    </row>
    <row r="12" spans="1:256" ht="15">
      <c r="A12" t="e">
        <f>AND('VEL-LECT'!P57,"AAAAAB7jrwA=")</f>
        <v>#VALUE!</v>
      </c>
      <c r="B12" t="e">
        <f>AND('VEL-LECT'!Q57,"AAAAAB7jrwE=")</f>
        <v>#VALUE!</v>
      </c>
      <c r="C12" t="e">
        <f>AND('VEL-LECT'!R57,"AAAAAB7jrwI=")</f>
        <v>#VALUE!</v>
      </c>
      <c r="D12" t="e">
        <f>AND('VEL-LECT'!S57,"AAAAAB7jrwM=")</f>
        <v>#VALUE!</v>
      </c>
      <c r="E12" t="e">
        <f>AND('VEL-LECT'!T57,"AAAAAB7jrwQ=")</f>
        <v>#VALUE!</v>
      </c>
      <c r="F12" t="e">
        <f>AND('VEL-LECT'!U57,"AAAAAB7jrwU=")</f>
        <v>#VALUE!</v>
      </c>
      <c r="G12" t="e">
        <f>AND('VEL-LECT'!V57,"AAAAAB7jrwY=")</f>
        <v>#VALUE!</v>
      </c>
      <c r="H12" t="e">
        <f>AND('VEL-LECT'!W57,"AAAAAB7jrwc=")</f>
        <v>#VALUE!</v>
      </c>
      <c r="I12" t="e">
        <f>AND('VEL-LECT'!X57,"AAAAAB7jrwg=")</f>
        <v>#VALUE!</v>
      </c>
      <c r="J12" t="e">
        <f>AND('VEL-LECT'!Y57,"AAAAAB7jrwk=")</f>
        <v>#VALUE!</v>
      </c>
      <c r="K12" t="e">
        <f>AND('VEL-LECT'!Z57,"AAAAAB7jrwo=")</f>
        <v>#VALUE!</v>
      </c>
      <c r="L12" t="e">
        <f>AND('VEL-LECT'!AA57,"AAAAAB7jrws=")</f>
        <v>#VALUE!</v>
      </c>
      <c r="M12" t="e">
        <f>AND('VEL-LECT'!AB57,"AAAAAB7jrww=")</f>
        <v>#VALUE!</v>
      </c>
      <c r="N12" t="e">
        <f>AND('VEL-LECT'!AC57,"AAAAAB7jrw0=")</f>
        <v>#VALUE!</v>
      </c>
      <c r="O12" t="e">
        <f>AND('VEL-LECT'!AD57,"AAAAAB7jrw4=")</f>
        <v>#VALUE!</v>
      </c>
      <c r="P12" t="e">
        <f>AND('VEL-LECT'!AE57,"AAAAAB7jrw8=")</f>
        <v>#VALUE!</v>
      </c>
      <c r="Q12" t="e">
        <f>AND('VEL-LECT'!AF57,"AAAAAB7jrxA=")</f>
        <v>#VALUE!</v>
      </c>
      <c r="R12" t="e">
        <f>AND('VEL-LECT'!AG57,"AAAAAB7jrxE=")</f>
        <v>#VALUE!</v>
      </c>
      <c r="S12" t="e">
        <f>AND('VEL-LECT'!AH57,"AAAAAB7jrxI=")</f>
        <v>#VALUE!</v>
      </c>
      <c r="T12" t="e">
        <f>AND('VEL-LECT'!AI57,"AAAAAB7jrxM=")</f>
        <v>#VALUE!</v>
      </c>
      <c r="U12" t="e">
        <f>AND('VEL-LECT'!AJ57,"AAAAAB7jrxQ=")</f>
        <v>#VALUE!</v>
      </c>
      <c r="V12" t="e">
        <f>AND('VEL-LECT'!AK57,"AAAAAB7jrxU=")</f>
        <v>#VALUE!</v>
      </c>
      <c r="W12" t="e">
        <f>AND('VEL-LECT'!AL57,"AAAAAB7jrxY=")</f>
        <v>#VALUE!</v>
      </c>
      <c r="X12" t="e">
        <f>AND('VEL-LECT'!AM57,"AAAAAB7jrxc=")</f>
        <v>#VALUE!</v>
      </c>
      <c r="Y12" t="e">
        <f>AND('VEL-LECT'!AN57,"AAAAAB7jrxg=")</f>
        <v>#VALUE!</v>
      </c>
      <c r="Z12" t="e">
        <f>AND('VEL-LECT'!AO57,"AAAAAB7jrxk=")</f>
        <v>#VALUE!</v>
      </c>
      <c r="AA12" t="e">
        <f>AND('VEL-LECT'!AP57,"AAAAAB7jrxo=")</f>
        <v>#VALUE!</v>
      </c>
      <c r="AB12" t="e">
        <f>AND('VEL-LECT'!AQ57,"AAAAAB7jrxs=")</f>
        <v>#VALUE!</v>
      </c>
      <c r="AC12" t="e">
        <f>AND('VEL-LECT'!AR57,"AAAAAB7jrxw=")</f>
        <v>#VALUE!</v>
      </c>
      <c r="AD12" t="e">
        <f>AND('VEL-LECT'!AS57,"AAAAAB7jrx0=")</f>
        <v>#VALUE!</v>
      </c>
      <c r="AE12" t="e">
        <f>AND('VEL-LECT'!AT57,"AAAAAB7jrx4=")</f>
        <v>#VALUE!</v>
      </c>
      <c r="AF12" t="e">
        <f>AND('VEL-LECT'!AU57,"AAAAAB7jrx8=")</f>
        <v>#VALUE!</v>
      </c>
      <c r="AG12" t="e">
        <f>AND('VEL-LECT'!AV57,"AAAAAB7jryA=")</f>
        <v>#VALUE!</v>
      </c>
      <c r="AH12" t="e">
        <f>AND('VEL-LECT'!AW57,"AAAAAB7jryE=")</f>
        <v>#VALUE!</v>
      </c>
      <c r="AI12">
        <f>IF('VEL-LECT'!58:58,"AAAAAB7jryI=",0)</f>
        <v>0</v>
      </c>
      <c r="AJ12" t="e">
        <f>AND('VEL-LECT'!A58,"AAAAAB7jryM=")</f>
        <v>#VALUE!</v>
      </c>
      <c r="AK12" t="e">
        <f>AND('VEL-LECT'!B58,"AAAAAB7jryQ=")</f>
        <v>#VALUE!</v>
      </c>
      <c r="AL12" t="e">
        <f>AND('VEL-LECT'!C58,"AAAAAB7jryU=")</f>
        <v>#VALUE!</v>
      </c>
      <c r="AM12" t="e">
        <f>AND('VEL-LECT'!D58,"AAAAAB7jryY=")</f>
        <v>#VALUE!</v>
      </c>
      <c r="AN12" t="e">
        <f>AND('VEL-LECT'!E58,"AAAAAB7jryc=")</f>
        <v>#VALUE!</v>
      </c>
      <c r="AO12" t="e">
        <f>AND('VEL-LECT'!F58,"AAAAAB7jryg=")</f>
        <v>#VALUE!</v>
      </c>
      <c r="AP12" t="e">
        <f>AND('VEL-LECT'!G58,"AAAAAB7jryk=")</f>
        <v>#VALUE!</v>
      </c>
      <c r="AQ12" t="e">
        <f>AND('VEL-LECT'!H58,"AAAAAB7jryo=")</f>
        <v>#VALUE!</v>
      </c>
      <c r="AR12" t="e">
        <f>AND('VEL-LECT'!I58,"AAAAAB7jrys=")</f>
        <v>#VALUE!</v>
      </c>
      <c r="AS12" t="e">
        <f>AND('VEL-LECT'!J58,"AAAAAB7jryw=")</f>
        <v>#VALUE!</v>
      </c>
      <c r="AT12" t="e">
        <f>AND('VEL-LECT'!K58,"AAAAAB7jry0=")</f>
        <v>#VALUE!</v>
      </c>
      <c r="AU12" t="e">
        <f>AND('VEL-LECT'!L58,"AAAAAB7jry4=")</f>
        <v>#VALUE!</v>
      </c>
      <c r="AV12" t="e">
        <f>AND('VEL-LECT'!M58,"AAAAAB7jry8=")</f>
        <v>#VALUE!</v>
      </c>
      <c r="AW12" t="e">
        <f>AND('VEL-LECT'!N58,"AAAAAB7jrzA=")</f>
        <v>#VALUE!</v>
      </c>
      <c r="AX12" t="e">
        <f>AND('VEL-LECT'!O58,"AAAAAB7jrzE=")</f>
        <v>#VALUE!</v>
      </c>
      <c r="AY12" t="e">
        <f>AND('VEL-LECT'!P58,"AAAAAB7jrzI=")</f>
        <v>#VALUE!</v>
      </c>
      <c r="AZ12" t="e">
        <f>AND('VEL-LECT'!Q58,"AAAAAB7jrzM=")</f>
        <v>#VALUE!</v>
      </c>
      <c r="BA12" t="e">
        <f>AND('VEL-LECT'!R58,"AAAAAB7jrzQ=")</f>
        <v>#VALUE!</v>
      </c>
      <c r="BB12" t="e">
        <f>AND('VEL-LECT'!S58,"AAAAAB7jrzU=")</f>
        <v>#VALUE!</v>
      </c>
      <c r="BC12" t="e">
        <f>AND('VEL-LECT'!T58,"AAAAAB7jrzY=")</f>
        <v>#VALUE!</v>
      </c>
      <c r="BD12" t="e">
        <f>AND('VEL-LECT'!U58,"AAAAAB7jrzc=")</f>
        <v>#VALUE!</v>
      </c>
      <c r="BE12" t="e">
        <f>AND('VEL-LECT'!V58,"AAAAAB7jrzg=")</f>
        <v>#VALUE!</v>
      </c>
      <c r="BF12" t="e">
        <f>AND('VEL-LECT'!W58,"AAAAAB7jrzk=")</f>
        <v>#VALUE!</v>
      </c>
      <c r="BG12" t="e">
        <f>AND('VEL-LECT'!X58,"AAAAAB7jrzo=")</f>
        <v>#VALUE!</v>
      </c>
      <c r="BH12" t="e">
        <f>AND('VEL-LECT'!Y58,"AAAAAB7jrzs=")</f>
        <v>#VALUE!</v>
      </c>
      <c r="BI12" t="e">
        <f>AND('VEL-LECT'!Z58,"AAAAAB7jrzw=")</f>
        <v>#VALUE!</v>
      </c>
      <c r="BJ12" t="e">
        <f>AND('VEL-LECT'!AA58,"AAAAAB7jrz0=")</f>
        <v>#VALUE!</v>
      </c>
      <c r="BK12" t="e">
        <f>AND('VEL-LECT'!AB58,"AAAAAB7jrz4=")</f>
        <v>#VALUE!</v>
      </c>
      <c r="BL12" t="e">
        <f>AND('VEL-LECT'!AC58,"AAAAAB7jrz8=")</f>
        <v>#VALUE!</v>
      </c>
      <c r="BM12" t="e">
        <f>AND('VEL-LECT'!AD58,"AAAAAB7jr0A=")</f>
        <v>#VALUE!</v>
      </c>
      <c r="BN12" t="e">
        <f>AND('VEL-LECT'!AE58,"AAAAAB7jr0E=")</f>
        <v>#VALUE!</v>
      </c>
      <c r="BO12" t="e">
        <f>AND('VEL-LECT'!AF58,"AAAAAB7jr0I=")</f>
        <v>#VALUE!</v>
      </c>
      <c r="BP12" t="e">
        <f>AND('VEL-LECT'!AG58,"AAAAAB7jr0M=")</f>
        <v>#VALUE!</v>
      </c>
      <c r="BQ12" t="e">
        <f>AND('VEL-LECT'!AH58,"AAAAAB7jr0Q=")</f>
        <v>#VALUE!</v>
      </c>
      <c r="BR12" t="e">
        <f>AND('VEL-LECT'!AI58,"AAAAAB7jr0U=")</f>
        <v>#VALUE!</v>
      </c>
      <c r="BS12" t="e">
        <f>AND('VEL-LECT'!AJ58,"AAAAAB7jr0Y=")</f>
        <v>#VALUE!</v>
      </c>
      <c r="BT12" t="e">
        <f>AND('VEL-LECT'!AK58,"AAAAAB7jr0c=")</f>
        <v>#VALUE!</v>
      </c>
      <c r="BU12" t="e">
        <f>AND('VEL-LECT'!AL58,"AAAAAB7jr0g=")</f>
        <v>#VALUE!</v>
      </c>
      <c r="BV12" t="e">
        <f>AND('VEL-LECT'!AM58,"AAAAAB7jr0k=")</f>
        <v>#VALUE!</v>
      </c>
      <c r="BW12" t="e">
        <f>AND('VEL-LECT'!AN58,"AAAAAB7jr0o=")</f>
        <v>#VALUE!</v>
      </c>
      <c r="BX12" t="e">
        <f>AND('VEL-LECT'!AO58,"AAAAAB7jr0s=")</f>
        <v>#VALUE!</v>
      </c>
      <c r="BY12" t="e">
        <f>AND('VEL-LECT'!AP58,"AAAAAB7jr0w=")</f>
        <v>#VALUE!</v>
      </c>
      <c r="BZ12" t="e">
        <f>AND('VEL-LECT'!AQ58,"AAAAAB7jr00=")</f>
        <v>#VALUE!</v>
      </c>
      <c r="CA12" t="e">
        <f>AND('VEL-LECT'!AR58,"AAAAAB7jr04=")</f>
        <v>#VALUE!</v>
      </c>
      <c r="CB12" t="e">
        <f>AND('VEL-LECT'!AS58,"AAAAAB7jr08=")</f>
        <v>#VALUE!</v>
      </c>
      <c r="CC12" t="e">
        <f>AND('VEL-LECT'!AT58,"AAAAAB7jr1A=")</f>
        <v>#VALUE!</v>
      </c>
      <c r="CD12" t="e">
        <f>AND('VEL-LECT'!AU58,"AAAAAB7jr1E=")</f>
        <v>#VALUE!</v>
      </c>
      <c r="CE12" t="e">
        <f>AND('VEL-LECT'!AV58,"AAAAAB7jr1I=")</f>
        <v>#VALUE!</v>
      </c>
      <c r="CF12" t="e">
        <f>AND('VEL-LECT'!AW58,"AAAAAB7jr1M=")</f>
        <v>#VALUE!</v>
      </c>
      <c r="CG12">
        <f>IF('VEL-LECT'!59:59,"AAAAAB7jr1Q=",0)</f>
        <v>0</v>
      </c>
      <c r="CH12" t="e">
        <f>AND('VEL-LECT'!A59,"AAAAAB7jr1U=")</f>
        <v>#VALUE!</v>
      </c>
      <c r="CI12" t="e">
        <f>AND('VEL-LECT'!B59,"AAAAAB7jr1Y=")</f>
        <v>#VALUE!</v>
      </c>
      <c r="CJ12" t="e">
        <f>AND('VEL-LECT'!C59,"AAAAAB7jr1c=")</f>
        <v>#VALUE!</v>
      </c>
      <c r="CK12" t="e">
        <f>AND('VEL-LECT'!D59,"AAAAAB7jr1g=")</f>
        <v>#VALUE!</v>
      </c>
      <c r="CL12" t="e">
        <f>AND('VEL-LECT'!E59,"AAAAAB7jr1k=")</f>
        <v>#VALUE!</v>
      </c>
      <c r="CM12" t="e">
        <f>AND('VEL-LECT'!F59,"AAAAAB7jr1o=")</f>
        <v>#VALUE!</v>
      </c>
      <c r="CN12" t="e">
        <f>AND('VEL-LECT'!G59,"AAAAAB7jr1s=")</f>
        <v>#VALUE!</v>
      </c>
      <c r="CO12" t="e">
        <f>AND('VEL-LECT'!H59,"AAAAAB7jr1w=")</f>
        <v>#VALUE!</v>
      </c>
      <c r="CP12" t="e">
        <f>AND('VEL-LECT'!I59,"AAAAAB7jr10=")</f>
        <v>#VALUE!</v>
      </c>
      <c r="CQ12" t="e">
        <f>AND('VEL-LECT'!J59,"AAAAAB7jr14=")</f>
        <v>#VALUE!</v>
      </c>
      <c r="CR12" t="e">
        <f>AND('VEL-LECT'!K59,"AAAAAB7jr18=")</f>
        <v>#VALUE!</v>
      </c>
      <c r="CS12" t="e">
        <f>AND('VEL-LECT'!L59,"AAAAAB7jr2A=")</f>
        <v>#VALUE!</v>
      </c>
      <c r="CT12" t="e">
        <f>AND('VEL-LECT'!M59,"AAAAAB7jr2E=")</f>
        <v>#VALUE!</v>
      </c>
      <c r="CU12" t="e">
        <f>AND('VEL-LECT'!N59,"AAAAAB7jr2I=")</f>
        <v>#VALUE!</v>
      </c>
      <c r="CV12" t="e">
        <f>AND('VEL-LECT'!O59,"AAAAAB7jr2M=")</f>
        <v>#VALUE!</v>
      </c>
      <c r="CW12" t="e">
        <f>AND('VEL-LECT'!P59,"AAAAAB7jr2Q=")</f>
        <v>#VALUE!</v>
      </c>
      <c r="CX12" t="e">
        <f>AND('VEL-LECT'!Q59,"AAAAAB7jr2U=")</f>
        <v>#VALUE!</v>
      </c>
      <c r="CY12" t="e">
        <f>AND('VEL-LECT'!R59,"AAAAAB7jr2Y=")</f>
        <v>#VALUE!</v>
      </c>
      <c r="CZ12" t="e">
        <f>AND('VEL-LECT'!S59,"AAAAAB7jr2c=")</f>
        <v>#VALUE!</v>
      </c>
      <c r="DA12" t="e">
        <f>AND('VEL-LECT'!T59,"AAAAAB7jr2g=")</f>
        <v>#VALUE!</v>
      </c>
      <c r="DB12" t="e">
        <f>AND('VEL-LECT'!U59,"AAAAAB7jr2k=")</f>
        <v>#VALUE!</v>
      </c>
      <c r="DC12" t="e">
        <f>AND('VEL-LECT'!V59,"AAAAAB7jr2o=")</f>
        <v>#VALUE!</v>
      </c>
      <c r="DD12" t="e">
        <f>AND('VEL-LECT'!W59,"AAAAAB7jr2s=")</f>
        <v>#VALUE!</v>
      </c>
      <c r="DE12" t="e">
        <f>AND('VEL-LECT'!X59,"AAAAAB7jr2w=")</f>
        <v>#VALUE!</v>
      </c>
      <c r="DF12" t="e">
        <f>AND('VEL-LECT'!Y59,"AAAAAB7jr20=")</f>
        <v>#VALUE!</v>
      </c>
      <c r="DG12" t="e">
        <f>AND('VEL-LECT'!Z59,"AAAAAB7jr24=")</f>
        <v>#VALUE!</v>
      </c>
      <c r="DH12" t="e">
        <f>AND('VEL-LECT'!AA59,"AAAAAB7jr28=")</f>
        <v>#VALUE!</v>
      </c>
      <c r="DI12" t="e">
        <f>AND('VEL-LECT'!AB59,"AAAAAB7jr3A=")</f>
        <v>#VALUE!</v>
      </c>
      <c r="DJ12" t="e">
        <f>AND('VEL-LECT'!AC59,"AAAAAB7jr3E=")</f>
        <v>#VALUE!</v>
      </c>
      <c r="DK12" t="e">
        <f>AND('VEL-LECT'!AD59,"AAAAAB7jr3I=")</f>
        <v>#VALUE!</v>
      </c>
      <c r="DL12" t="e">
        <f>AND('VEL-LECT'!AE59,"AAAAAB7jr3M=")</f>
        <v>#VALUE!</v>
      </c>
      <c r="DM12" t="e">
        <f>AND('VEL-LECT'!AF59,"AAAAAB7jr3Q=")</f>
        <v>#VALUE!</v>
      </c>
      <c r="DN12" t="e">
        <f>AND('VEL-LECT'!AG59,"AAAAAB7jr3U=")</f>
        <v>#VALUE!</v>
      </c>
      <c r="DO12" t="e">
        <f>AND('VEL-LECT'!AH59,"AAAAAB7jr3Y=")</f>
        <v>#VALUE!</v>
      </c>
      <c r="DP12" t="e">
        <f>AND('VEL-LECT'!AI59,"AAAAAB7jr3c=")</f>
        <v>#VALUE!</v>
      </c>
      <c r="DQ12" t="e">
        <f>AND('VEL-LECT'!AJ59,"AAAAAB7jr3g=")</f>
        <v>#VALUE!</v>
      </c>
      <c r="DR12" t="e">
        <f>AND('VEL-LECT'!AK59,"AAAAAB7jr3k=")</f>
        <v>#VALUE!</v>
      </c>
      <c r="DS12" t="e">
        <f>AND('VEL-LECT'!AL59,"AAAAAB7jr3o=")</f>
        <v>#VALUE!</v>
      </c>
      <c r="DT12" t="e">
        <f>AND('VEL-LECT'!AM59,"AAAAAB7jr3s=")</f>
        <v>#VALUE!</v>
      </c>
      <c r="DU12" t="e">
        <f>AND('VEL-LECT'!AN59,"AAAAAB7jr3w=")</f>
        <v>#VALUE!</v>
      </c>
      <c r="DV12" t="e">
        <f>AND('VEL-LECT'!AO59,"AAAAAB7jr30=")</f>
        <v>#VALUE!</v>
      </c>
      <c r="DW12" t="e">
        <f>AND('VEL-LECT'!AP59,"AAAAAB7jr34=")</f>
        <v>#VALUE!</v>
      </c>
      <c r="DX12" t="e">
        <f>AND('VEL-LECT'!AQ59,"AAAAAB7jr38=")</f>
        <v>#VALUE!</v>
      </c>
      <c r="DY12" t="e">
        <f>AND('VEL-LECT'!AR59,"AAAAAB7jr4A=")</f>
        <v>#VALUE!</v>
      </c>
      <c r="DZ12" t="e">
        <f>AND('VEL-LECT'!AS59,"AAAAAB7jr4E=")</f>
        <v>#VALUE!</v>
      </c>
      <c r="EA12" t="e">
        <f>AND('VEL-LECT'!AT59,"AAAAAB7jr4I=")</f>
        <v>#VALUE!</v>
      </c>
      <c r="EB12" t="e">
        <f>AND('VEL-LECT'!AU59,"AAAAAB7jr4M=")</f>
        <v>#VALUE!</v>
      </c>
      <c r="EC12" t="e">
        <f>AND('VEL-LECT'!AV59,"AAAAAB7jr4Q=")</f>
        <v>#VALUE!</v>
      </c>
      <c r="ED12" t="e">
        <f>AND('VEL-LECT'!AW59,"AAAAAB7jr4U=")</f>
        <v>#VALUE!</v>
      </c>
      <c r="EE12">
        <f>IF('VEL-LECT'!60:60,"AAAAAB7jr4Y=",0)</f>
        <v>0</v>
      </c>
      <c r="EF12" t="e">
        <f>AND('VEL-LECT'!A60,"AAAAAB7jr4c=")</f>
        <v>#VALUE!</v>
      </c>
      <c r="EG12" t="e">
        <f>AND('VEL-LECT'!B60,"AAAAAB7jr4g=")</f>
        <v>#VALUE!</v>
      </c>
      <c r="EH12" t="e">
        <f>AND('VEL-LECT'!C60,"AAAAAB7jr4k=")</f>
        <v>#VALUE!</v>
      </c>
      <c r="EI12" t="e">
        <f>AND('VEL-LECT'!D60,"AAAAAB7jr4o=")</f>
        <v>#VALUE!</v>
      </c>
      <c r="EJ12" t="e">
        <f>AND('VEL-LECT'!E60,"AAAAAB7jr4s=")</f>
        <v>#VALUE!</v>
      </c>
      <c r="EK12" t="e">
        <f>AND('VEL-LECT'!F60,"AAAAAB7jr4w=")</f>
        <v>#VALUE!</v>
      </c>
      <c r="EL12" t="e">
        <f>AND('VEL-LECT'!G60,"AAAAAB7jr40=")</f>
        <v>#VALUE!</v>
      </c>
      <c r="EM12" t="e">
        <f>AND('VEL-LECT'!H60,"AAAAAB7jr44=")</f>
        <v>#VALUE!</v>
      </c>
      <c r="EN12" t="e">
        <f>AND('VEL-LECT'!I60,"AAAAAB7jr48=")</f>
        <v>#VALUE!</v>
      </c>
      <c r="EO12" t="e">
        <f>AND('VEL-LECT'!J60,"AAAAAB7jr5A=")</f>
        <v>#VALUE!</v>
      </c>
      <c r="EP12" t="e">
        <f>AND('VEL-LECT'!K60,"AAAAAB7jr5E=")</f>
        <v>#VALUE!</v>
      </c>
      <c r="EQ12" t="e">
        <f>AND('VEL-LECT'!L60,"AAAAAB7jr5I=")</f>
        <v>#VALUE!</v>
      </c>
      <c r="ER12" t="e">
        <f>AND('VEL-LECT'!M60,"AAAAAB7jr5M=")</f>
        <v>#VALUE!</v>
      </c>
      <c r="ES12" t="e">
        <f>AND('VEL-LECT'!N60,"AAAAAB7jr5Q=")</f>
        <v>#VALUE!</v>
      </c>
      <c r="ET12" t="e">
        <f>AND('VEL-LECT'!O60,"AAAAAB7jr5U=")</f>
        <v>#VALUE!</v>
      </c>
      <c r="EU12" t="e">
        <f>AND('VEL-LECT'!P60,"AAAAAB7jr5Y=")</f>
        <v>#VALUE!</v>
      </c>
      <c r="EV12" t="e">
        <f>AND('VEL-LECT'!Q60,"AAAAAB7jr5c=")</f>
        <v>#VALUE!</v>
      </c>
      <c r="EW12" t="e">
        <f>AND('VEL-LECT'!R60,"AAAAAB7jr5g=")</f>
        <v>#VALUE!</v>
      </c>
      <c r="EX12" t="e">
        <f>AND('VEL-LECT'!S60,"AAAAAB7jr5k=")</f>
        <v>#VALUE!</v>
      </c>
      <c r="EY12" t="e">
        <f>AND('VEL-LECT'!T60,"AAAAAB7jr5o=")</f>
        <v>#VALUE!</v>
      </c>
      <c r="EZ12" t="e">
        <f>AND('VEL-LECT'!U60,"AAAAAB7jr5s=")</f>
        <v>#VALUE!</v>
      </c>
      <c r="FA12" t="e">
        <f>AND('VEL-LECT'!V60,"AAAAAB7jr5w=")</f>
        <v>#VALUE!</v>
      </c>
      <c r="FB12" t="e">
        <f>AND('VEL-LECT'!W60,"AAAAAB7jr50=")</f>
        <v>#VALUE!</v>
      </c>
      <c r="FC12" t="e">
        <f>AND('VEL-LECT'!X60,"AAAAAB7jr54=")</f>
        <v>#VALUE!</v>
      </c>
      <c r="FD12" t="e">
        <f>AND('VEL-LECT'!Y60,"AAAAAB7jr58=")</f>
        <v>#VALUE!</v>
      </c>
      <c r="FE12" t="e">
        <f>AND('VEL-LECT'!Z60,"AAAAAB7jr6A=")</f>
        <v>#VALUE!</v>
      </c>
      <c r="FF12" t="e">
        <f>AND('VEL-LECT'!AA60,"AAAAAB7jr6E=")</f>
        <v>#VALUE!</v>
      </c>
      <c r="FG12" t="e">
        <f>AND('VEL-LECT'!AB60,"AAAAAB7jr6I=")</f>
        <v>#VALUE!</v>
      </c>
      <c r="FH12" t="e">
        <f>AND('VEL-LECT'!AC60,"AAAAAB7jr6M=")</f>
        <v>#VALUE!</v>
      </c>
      <c r="FI12" t="e">
        <f>AND('VEL-LECT'!AD60,"AAAAAB7jr6Q=")</f>
        <v>#VALUE!</v>
      </c>
      <c r="FJ12" t="e">
        <f>AND('VEL-LECT'!AE60,"AAAAAB7jr6U=")</f>
        <v>#VALUE!</v>
      </c>
      <c r="FK12" t="e">
        <f>AND('VEL-LECT'!AF60,"AAAAAB7jr6Y=")</f>
        <v>#VALUE!</v>
      </c>
      <c r="FL12" t="e">
        <f>AND('VEL-LECT'!AG60,"AAAAAB7jr6c=")</f>
        <v>#VALUE!</v>
      </c>
      <c r="FM12" t="e">
        <f>AND('VEL-LECT'!AH60,"AAAAAB7jr6g=")</f>
        <v>#VALUE!</v>
      </c>
      <c r="FN12" t="e">
        <f>AND('VEL-LECT'!AI60,"AAAAAB7jr6k=")</f>
        <v>#VALUE!</v>
      </c>
      <c r="FO12" t="e">
        <f>AND('VEL-LECT'!AJ60,"AAAAAB7jr6o=")</f>
        <v>#VALUE!</v>
      </c>
      <c r="FP12" t="e">
        <f>AND('VEL-LECT'!AK60,"AAAAAB7jr6s=")</f>
        <v>#VALUE!</v>
      </c>
      <c r="FQ12" t="e">
        <f>AND('VEL-LECT'!AL60,"AAAAAB7jr6w=")</f>
        <v>#VALUE!</v>
      </c>
      <c r="FR12" t="e">
        <f>AND('VEL-LECT'!AM60,"AAAAAB7jr60=")</f>
        <v>#VALUE!</v>
      </c>
      <c r="FS12" t="e">
        <f>AND('VEL-LECT'!AN60,"AAAAAB7jr64=")</f>
        <v>#VALUE!</v>
      </c>
      <c r="FT12" t="e">
        <f>AND('VEL-LECT'!AO60,"AAAAAB7jr68=")</f>
        <v>#VALUE!</v>
      </c>
      <c r="FU12" t="e">
        <f>AND('VEL-LECT'!AP60,"AAAAAB7jr7A=")</f>
        <v>#VALUE!</v>
      </c>
      <c r="FV12" t="e">
        <f>AND('VEL-LECT'!AQ60,"AAAAAB7jr7E=")</f>
        <v>#VALUE!</v>
      </c>
      <c r="FW12" t="e">
        <f>AND('VEL-LECT'!AR60,"AAAAAB7jr7I=")</f>
        <v>#VALUE!</v>
      </c>
      <c r="FX12" t="e">
        <f>AND('VEL-LECT'!AS60,"AAAAAB7jr7M=")</f>
        <v>#VALUE!</v>
      </c>
      <c r="FY12" t="e">
        <f>AND('VEL-LECT'!AT60,"AAAAAB7jr7Q=")</f>
        <v>#VALUE!</v>
      </c>
      <c r="FZ12" t="e">
        <f>AND('VEL-LECT'!AU60,"AAAAAB7jr7U=")</f>
        <v>#VALUE!</v>
      </c>
      <c r="GA12" t="e">
        <f>AND('VEL-LECT'!AV60,"AAAAAB7jr7Y=")</f>
        <v>#VALUE!</v>
      </c>
      <c r="GB12" t="e">
        <f>AND('VEL-LECT'!AW60,"AAAAAB7jr7c=")</f>
        <v>#VALUE!</v>
      </c>
      <c r="GC12">
        <f>IF('VEL-LECT'!61:61,"AAAAAB7jr7g=",0)</f>
        <v>0</v>
      </c>
      <c r="GD12" t="e">
        <f>AND('VEL-LECT'!A61,"AAAAAB7jr7k=")</f>
        <v>#VALUE!</v>
      </c>
      <c r="GE12" t="e">
        <f>AND('VEL-LECT'!B61,"AAAAAB7jr7o=")</f>
        <v>#VALUE!</v>
      </c>
      <c r="GF12" t="e">
        <f>AND('VEL-LECT'!C61,"AAAAAB7jr7s=")</f>
        <v>#VALUE!</v>
      </c>
      <c r="GG12" t="e">
        <f>AND('VEL-LECT'!D61,"AAAAAB7jr7w=")</f>
        <v>#VALUE!</v>
      </c>
      <c r="GH12" t="e">
        <f>AND('VEL-LECT'!E61,"AAAAAB7jr70=")</f>
        <v>#VALUE!</v>
      </c>
      <c r="GI12" t="e">
        <f>AND('VEL-LECT'!F61,"AAAAAB7jr74=")</f>
        <v>#VALUE!</v>
      </c>
      <c r="GJ12" t="e">
        <f>AND('VEL-LECT'!G61,"AAAAAB7jr78=")</f>
        <v>#VALUE!</v>
      </c>
      <c r="GK12" t="e">
        <f>AND('VEL-LECT'!H61,"AAAAAB7jr8A=")</f>
        <v>#VALUE!</v>
      </c>
      <c r="GL12" t="e">
        <f>AND('VEL-LECT'!I61,"AAAAAB7jr8E=")</f>
        <v>#VALUE!</v>
      </c>
      <c r="GM12" t="e">
        <f>AND('VEL-LECT'!J61,"AAAAAB7jr8I=")</f>
        <v>#VALUE!</v>
      </c>
      <c r="GN12" t="e">
        <f>AND('VEL-LECT'!K61,"AAAAAB7jr8M=")</f>
        <v>#VALUE!</v>
      </c>
      <c r="GO12" t="e">
        <f>AND('VEL-LECT'!L61,"AAAAAB7jr8Q=")</f>
        <v>#VALUE!</v>
      </c>
      <c r="GP12" t="e">
        <f>AND('VEL-LECT'!M61,"AAAAAB7jr8U=")</f>
        <v>#VALUE!</v>
      </c>
      <c r="GQ12" t="e">
        <f>AND('VEL-LECT'!N61,"AAAAAB7jr8Y=")</f>
        <v>#VALUE!</v>
      </c>
      <c r="GR12" t="e">
        <f>AND('VEL-LECT'!O61,"AAAAAB7jr8c=")</f>
        <v>#VALUE!</v>
      </c>
      <c r="GS12" t="e">
        <f>AND('VEL-LECT'!P61,"AAAAAB7jr8g=")</f>
        <v>#VALUE!</v>
      </c>
      <c r="GT12" t="e">
        <f>AND('VEL-LECT'!Q61,"AAAAAB7jr8k=")</f>
        <v>#VALUE!</v>
      </c>
      <c r="GU12" t="e">
        <f>AND('VEL-LECT'!R61,"AAAAAB7jr8o=")</f>
        <v>#VALUE!</v>
      </c>
      <c r="GV12" t="e">
        <f>AND('VEL-LECT'!S61,"AAAAAB7jr8s=")</f>
        <v>#VALUE!</v>
      </c>
      <c r="GW12" t="e">
        <f>AND('VEL-LECT'!T61,"AAAAAB7jr8w=")</f>
        <v>#VALUE!</v>
      </c>
      <c r="GX12" t="e">
        <f>AND('VEL-LECT'!U61,"AAAAAB7jr80=")</f>
        <v>#VALUE!</v>
      </c>
      <c r="GY12" t="e">
        <f>AND('VEL-LECT'!V61,"AAAAAB7jr84=")</f>
        <v>#VALUE!</v>
      </c>
      <c r="GZ12" t="e">
        <f>AND('VEL-LECT'!W61,"AAAAAB7jr88=")</f>
        <v>#VALUE!</v>
      </c>
      <c r="HA12" t="e">
        <f>AND('VEL-LECT'!X61,"AAAAAB7jr9A=")</f>
        <v>#VALUE!</v>
      </c>
      <c r="HB12" t="e">
        <f>AND('VEL-LECT'!Y61,"AAAAAB7jr9E=")</f>
        <v>#VALUE!</v>
      </c>
      <c r="HC12" t="e">
        <f>AND('VEL-LECT'!Z61,"AAAAAB7jr9I=")</f>
        <v>#VALUE!</v>
      </c>
      <c r="HD12" t="e">
        <f>AND('VEL-LECT'!AA61,"AAAAAB7jr9M=")</f>
        <v>#VALUE!</v>
      </c>
      <c r="HE12" t="e">
        <f>AND('VEL-LECT'!AB61,"AAAAAB7jr9Q=")</f>
        <v>#VALUE!</v>
      </c>
      <c r="HF12" t="e">
        <f>AND('VEL-LECT'!AC61,"AAAAAB7jr9U=")</f>
        <v>#VALUE!</v>
      </c>
      <c r="HG12" t="e">
        <f>AND('VEL-LECT'!AD61,"AAAAAB7jr9Y=")</f>
        <v>#VALUE!</v>
      </c>
      <c r="HH12" t="e">
        <f>AND('VEL-LECT'!AE61,"AAAAAB7jr9c=")</f>
        <v>#VALUE!</v>
      </c>
      <c r="HI12" t="e">
        <f>AND('VEL-LECT'!AF61,"AAAAAB7jr9g=")</f>
        <v>#VALUE!</v>
      </c>
      <c r="HJ12" t="e">
        <f>AND('VEL-LECT'!AG61,"AAAAAB7jr9k=")</f>
        <v>#VALUE!</v>
      </c>
      <c r="HK12" t="e">
        <f>AND('VEL-LECT'!AH61,"AAAAAB7jr9o=")</f>
        <v>#VALUE!</v>
      </c>
      <c r="HL12" t="e">
        <f>AND('VEL-LECT'!AI61,"AAAAAB7jr9s=")</f>
        <v>#VALUE!</v>
      </c>
      <c r="HM12" t="e">
        <f>AND('VEL-LECT'!AJ61,"AAAAAB7jr9w=")</f>
        <v>#VALUE!</v>
      </c>
      <c r="HN12" t="e">
        <f>AND('VEL-LECT'!AK61,"AAAAAB7jr90=")</f>
        <v>#VALUE!</v>
      </c>
      <c r="HO12" t="e">
        <f>AND('VEL-LECT'!AL61,"AAAAAB7jr94=")</f>
        <v>#VALUE!</v>
      </c>
      <c r="HP12" t="e">
        <f>AND('VEL-LECT'!AM61,"AAAAAB7jr98=")</f>
        <v>#VALUE!</v>
      </c>
      <c r="HQ12" t="e">
        <f>AND('VEL-LECT'!AN61,"AAAAAB7jr+A=")</f>
        <v>#VALUE!</v>
      </c>
      <c r="HR12" t="e">
        <f>AND('VEL-LECT'!AO61,"AAAAAB7jr+E=")</f>
        <v>#VALUE!</v>
      </c>
      <c r="HS12" t="e">
        <f>AND('VEL-LECT'!AP61,"AAAAAB7jr+I=")</f>
        <v>#VALUE!</v>
      </c>
      <c r="HT12" t="e">
        <f>AND('VEL-LECT'!AQ61,"AAAAAB7jr+M=")</f>
        <v>#VALUE!</v>
      </c>
      <c r="HU12" t="e">
        <f>AND('VEL-LECT'!AR61,"AAAAAB7jr+Q=")</f>
        <v>#VALUE!</v>
      </c>
      <c r="HV12" t="e">
        <f>AND('VEL-LECT'!AS61,"AAAAAB7jr+U=")</f>
        <v>#VALUE!</v>
      </c>
      <c r="HW12" t="e">
        <f>AND('VEL-LECT'!AT61,"AAAAAB7jr+Y=")</f>
        <v>#VALUE!</v>
      </c>
      <c r="HX12" t="e">
        <f>AND('VEL-LECT'!AU61,"AAAAAB7jr+c=")</f>
        <v>#VALUE!</v>
      </c>
      <c r="HY12" t="e">
        <f>AND('VEL-LECT'!AV61,"AAAAAB7jr+g=")</f>
        <v>#VALUE!</v>
      </c>
      <c r="HZ12" t="e">
        <f>AND('VEL-LECT'!AW61,"AAAAAB7jr+k=")</f>
        <v>#VALUE!</v>
      </c>
      <c r="IA12">
        <f>IF('VEL-LECT'!62:62,"AAAAAB7jr+o=",0)</f>
        <v>0</v>
      </c>
      <c r="IB12" t="e">
        <f>AND('VEL-LECT'!A62,"AAAAAB7jr+s=")</f>
        <v>#VALUE!</v>
      </c>
      <c r="IC12" t="e">
        <f>AND('VEL-LECT'!B62,"AAAAAB7jr+w=")</f>
        <v>#VALUE!</v>
      </c>
      <c r="ID12" t="e">
        <f>AND('VEL-LECT'!C62,"AAAAAB7jr+0=")</f>
        <v>#VALUE!</v>
      </c>
      <c r="IE12" t="e">
        <f>AND('VEL-LECT'!D62,"AAAAAB7jr+4=")</f>
        <v>#VALUE!</v>
      </c>
      <c r="IF12" t="e">
        <f>AND('VEL-LECT'!E62,"AAAAAB7jr+8=")</f>
        <v>#VALUE!</v>
      </c>
      <c r="IG12" t="e">
        <f>AND('VEL-LECT'!F62,"AAAAAB7jr/A=")</f>
        <v>#VALUE!</v>
      </c>
      <c r="IH12" t="e">
        <f>AND('VEL-LECT'!G62,"AAAAAB7jr/E=")</f>
        <v>#VALUE!</v>
      </c>
      <c r="II12" t="e">
        <f>AND('VEL-LECT'!H62,"AAAAAB7jr/I=")</f>
        <v>#VALUE!</v>
      </c>
      <c r="IJ12" t="e">
        <f>AND('VEL-LECT'!I62,"AAAAAB7jr/M=")</f>
        <v>#VALUE!</v>
      </c>
      <c r="IK12" t="e">
        <f>AND('VEL-LECT'!J62,"AAAAAB7jr/Q=")</f>
        <v>#VALUE!</v>
      </c>
      <c r="IL12" t="e">
        <f>AND('VEL-LECT'!K62,"AAAAAB7jr/U=")</f>
        <v>#VALUE!</v>
      </c>
      <c r="IM12" t="e">
        <f>AND('VEL-LECT'!L62,"AAAAAB7jr/Y=")</f>
        <v>#VALUE!</v>
      </c>
      <c r="IN12" t="e">
        <f>AND('VEL-LECT'!M62,"AAAAAB7jr/c=")</f>
        <v>#VALUE!</v>
      </c>
      <c r="IO12" t="e">
        <f>AND('VEL-LECT'!N62,"AAAAAB7jr/g=")</f>
        <v>#VALUE!</v>
      </c>
      <c r="IP12" t="e">
        <f>AND('VEL-LECT'!O62,"AAAAAB7jr/k=")</f>
        <v>#VALUE!</v>
      </c>
      <c r="IQ12" t="e">
        <f>AND('VEL-LECT'!P62,"AAAAAB7jr/o=")</f>
        <v>#VALUE!</v>
      </c>
      <c r="IR12" t="e">
        <f>AND('VEL-LECT'!Q62,"AAAAAB7jr/s=")</f>
        <v>#VALUE!</v>
      </c>
      <c r="IS12" t="e">
        <f>AND('VEL-LECT'!R62,"AAAAAB7jr/w=")</f>
        <v>#VALUE!</v>
      </c>
      <c r="IT12" t="e">
        <f>AND('VEL-LECT'!S62,"AAAAAB7jr/0=")</f>
        <v>#VALUE!</v>
      </c>
      <c r="IU12" t="e">
        <f>AND('VEL-LECT'!T62,"AAAAAB7jr/4=")</f>
        <v>#VALUE!</v>
      </c>
      <c r="IV12" t="e">
        <f>AND('VEL-LECT'!U62,"AAAAAB7jr/8=")</f>
        <v>#VALUE!</v>
      </c>
    </row>
    <row r="13" spans="1:83" ht="15">
      <c r="A13" t="e">
        <f>AND('VEL-LECT'!V62,"AAAAAFd39gA=")</f>
        <v>#VALUE!</v>
      </c>
      <c r="B13" t="e">
        <f>AND('VEL-LECT'!W62,"AAAAAFd39gE=")</f>
        <v>#VALUE!</v>
      </c>
      <c r="C13" t="e">
        <f>AND('VEL-LECT'!X62,"AAAAAFd39gI=")</f>
        <v>#VALUE!</v>
      </c>
      <c r="D13" t="e">
        <f>AND('VEL-LECT'!Y62,"AAAAAFd39gM=")</f>
        <v>#VALUE!</v>
      </c>
      <c r="E13" t="e">
        <f>AND('VEL-LECT'!Z62,"AAAAAFd39gQ=")</f>
        <v>#VALUE!</v>
      </c>
      <c r="F13" t="e">
        <f>AND('VEL-LECT'!AA62,"AAAAAFd39gU=")</f>
        <v>#VALUE!</v>
      </c>
      <c r="G13" t="e">
        <f>AND('VEL-LECT'!AB62,"AAAAAFd39gY=")</f>
        <v>#VALUE!</v>
      </c>
      <c r="H13" t="e">
        <f>AND('VEL-LECT'!AC62,"AAAAAFd39gc=")</f>
        <v>#VALUE!</v>
      </c>
      <c r="I13" t="e">
        <f>AND('VEL-LECT'!AD62,"AAAAAFd39gg=")</f>
        <v>#VALUE!</v>
      </c>
      <c r="J13" t="e">
        <f>AND('VEL-LECT'!AE62,"AAAAAFd39gk=")</f>
        <v>#VALUE!</v>
      </c>
      <c r="K13" t="e">
        <f>AND('VEL-LECT'!AF62,"AAAAAFd39go=")</f>
        <v>#VALUE!</v>
      </c>
      <c r="L13" t="e">
        <f>AND('VEL-LECT'!AG62,"AAAAAFd39gs=")</f>
        <v>#VALUE!</v>
      </c>
      <c r="M13" t="e">
        <f>AND('VEL-LECT'!AH62,"AAAAAFd39gw=")</f>
        <v>#VALUE!</v>
      </c>
      <c r="N13" t="e">
        <f>AND('VEL-LECT'!AI62,"AAAAAFd39g0=")</f>
        <v>#VALUE!</v>
      </c>
      <c r="O13" t="e">
        <f>AND('VEL-LECT'!AJ62,"AAAAAFd39g4=")</f>
        <v>#VALUE!</v>
      </c>
      <c r="P13" t="e">
        <f>AND('VEL-LECT'!AK62,"AAAAAFd39g8=")</f>
        <v>#VALUE!</v>
      </c>
      <c r="Q13" t="e">
        <f>AND('VEL-LECT'!AL62,"AAAAAFd39hA=")</f>
        <v>#VALUE!</v>
      </c>
      <c r="R13" t="e">
        <f>AND('VEL-LECT'!AM62,"AAAAAFd39hE=")</f>
        <v>#VALUE!</v>
      </c>
      <c r="S13" t="e">
        <f>AND('VEL-LECT'!AN62,"AAAAAFd39hI=")</f>
        <v>#VALUE!</v>
      </c>
      <c r="T13" t="e">
        <f>AND('VEL-LECT'!AO62,"AAAAAFd39hM=")</f>
        <v>#VALUE!</v>
      </c>
      <c r="U13" t="e">
        <f>AND('VEL-LECT'!AP62,"AAAAAFd39hQ=")</f>
        <v>#VALUE!</v>
      </c>
      <c r="V13" t="e">
        <f>AND('VEL-LECT'!AQ62,"AAAAAFd39hU=")</f>
        <v>#VALUE!</v>
      </c>
      <c r="W13" t="e">
        <f>AND('VEL-LECT'!AR62,"AAAAAFd39hY=")</f>
        <v>#VALUE!</v>
      </c>
      <c r="X13" t="e">
        <f>AND('VEL-LECT'!AS62,"AAAAAFd39hc=")</f>
        <v>#VALUE!</v>
      </c>
      <c r="Y13" t="e">
        <f>AND('VEL-LECT'!AT62,"AAAAAFd39hg=")</f>
        <v>#VALUE!</v>
      </c>
      <c r="Z13" t="e">
        <f>AND('VEL-LECT'!AU62,"AAAAAFd39hk=")</f>
        <v>#VALUE!</v>
      </c>
      <c r="AA13" t="e">
        <f>AND('VEL-LECT'!AV62,"AAAAAFd39ho=")</f>
        <v>#VALUE!</v>
      </c>
      <c r="AB13" t="e">
        <f>AND('VEL-LECT'!AW62,"AAAAAFd39hs=")</f>
        <v>#VALUE!</v>
      </c>
      <c r="AC13">
        <f>IF('VEL-LECT'!63:63,"AAAAAFd39hw=",0)</f>
        <v>0</v>
      </c>
      <c r="AD13">
        <f>IF('VEL-LECT'!64:64,"AAAAAFd39h0=",0)</f>
        <v>0</v>
      </c>
      <c r="AE13">
        <f>IF('VEL-LECT'!65:65,"AAAAAFd39h4=",0)</f>
        <v>0</v>
      </c>
      <c r="AF13" t="str">
        <f>IF('VEL-LECT'!A:A,"AAAAAFd39h8=",0)</f>
        <v>AAAAAFd39h8=</v>
      </c>
      <c r="AG13">
        <f>IF('VEL-LECT'!B:B,"AAAAAFd39iA=",0)</f>
        <v>0</v>
      </c>
      <c r="AH13">
        <f>IF('VEL-LECT'!C:C,"AAAAAFd39iE=",0)</f>
        <v>0</v>
      </c>
      <c r="AI13">
        <f>IF('VEL-LECT'!D:D,"AAAAAFd39iI=",0)</f>
        <v>0</v>
      </c>
      <c r="AJ13">
        <f>IF('VEL-LECT'!E:E,"AAAAAFd39iM=",0)</f>
        <v>0</v>
      </c>
      <c r="AK13" t="e">
        <f>IF('VEL-LECT'!F:F,"AAAAAFd39iQ=",0)</f>
        <v>#VALUE!</v>
      </c>
      <c r="AL13" t="e">
        <f>IF('VEL-LECT'!G:G,"AAAAAFd39iU=",0)</f>
        <v>#VALUE!</v>
      </c>
      <c r="AM13">
        <f>IF('VEL-LECT'!H:H,"AAAAAFd39iY=",0)</f>
        <v>0</v>
      </c>
      <c r="AN13">
        <f>IF('VEL-LECT'!I:I,"AAAAAFd39ic=",0)</f>
        <v>0</v>
      </c>
      <c r="AO13">
        <f>IF('VEL-LECT'!J:J,"AAAAAFd39ig=",0)</f>
        <v>0</v>
      </c>
      <c r="AP13">
        <f>IF('VEL-LECT'!K:K,"AAAAAFd39ik=",0)</f>
        <v>0</v>
      </c>
      <c r="AQ13">
        <f>IF('VEL-LECT'!L:L,"AAAAAFd39io=",0)</f>
        <v>0</v>
      </c>
      <c r="AR13">
        <f>IF('VEL-LECT'!M:M,"AAAAAFd39is=",0)</f>
        <v>0</v>
      </c>
      <c r="AS13">
        <f>IF('VEL-LECT'!N:N,"AAAAAFd39iw=",0)</f>
        <v>0</v>
      </c>
      <c r="AT13">
        <f>IF('VEL-LECT'!O:O,"AAAAAFd39i0=",0)</f>
        <v>0</v>
      </c>
      <c r="AU13">
        <f>IF('VEL-LECT'!P:P,"AAAAAFd39i4=",0)</f>
        <v>0</v>
      </c>
      <c r="AV13">
        <f>IF('VEL-LECT'!Q:Q,"AAAAAFd39i8=",0)</f>
        <v>0</v>
      </c>
      <c r="AW13">
        <f>IF('VEL-LECT'!R:R,"AAAAAFd39jA=",0)</f>
        <v>0</v>
      </c>
      <c r="AX13">
        <f>IF('VEL-LECT'!S:S,"AAAAAFd39jE=",0)</f>
        <v>0</v>
      </c>
      <c r="AY13" t="str">
        <f>IF('VEL-LECT'!T:T,"AAAAAFd39jI=",0)</f>
        <v>AAAAAFd39jI=</v>
      </c>
      <c r="AZ13">
        <f>IF('VEL-LECT'!U:U,"AAAAAFd39jM=",0)</f>
        <v>0</v>
      </c>
      <c r="BA13" t="str">
        <f>IF('VEL-LECT'!V:V,"AAAAAFd39jQ=",0)</f>
        <v>AAAAAFd39jQ=</v>
      </c>
      <c r="BB13" t="str">
        <f>IF('VEL-LECT'!W:W,"AAAAAFd39jU=",0)</f>
        <v>AAAAAFd39jU=</v>
      </c>
      <c r="BC13" t="str">
        <f>IF('VEL-LECT'!X:X,"AAAAAFd39jY=",0)</f>
        <v>AAAAAFd39jY=</v>
      </c>
      <c r="BD13" t="str">
        <f>IF('VEL-LECT'!Y:Y,"AAAAAFd39jc=",0)</f>
        <v>AAAAAFd39jc=</v>
      </c>
      <c r="BE13" t="str">
        <f>IF('VEL-LECT'!Z:Z,"AAAAAFd39jg=",0)</f>
        <v>AAAAAFd39jg=</v>
      </c>
      <c r="BF13" t="str">
        <f>IF('VEL-LECT'!AA:AA,"AAAAAFd39jk=",0)</f>
        <v>AAAAAFd39jk=</v>
      </c>
      <c r="BG13" t="str">
        <f>IF('VEL-LECT'!AB:AB,"AAAAAFd39jo=",0)</f>
        <v>AAAAAFd39jo=</v>
      </c>
      <c r="BH13" t="str">
        <f>IF('VEL-LECT'!AC:AC,"AAAAAFd39js=",0)</f>
        <v>AAAAAFd39js=</v>
      </c>
      <c r="BI13">
        <f>IF('VEL-LECT'!AD:AD,"AAAAAFd39jw=",0)</f>
        <v>0</v>
      </c>
      <c r="BJ13">
        <f>IF('VEL-LECT'!AE:AE,"AAAAAFd39j0=",0)</f>
        <v>0</v>
      </c>
      <c r="BK13">
        <f>IF('VEL-LECT'!AF:AF,"AAAAAFd39j4=",0)</f>
        <v>0</v>
      </c>
      <c r="BL13">
        <f>IF('VEL-LECT'!AG:AG,"AAAAAFd39j8=",0)</f>
        <v>0</v>
      </c>
      <c r="BM13">
        <f>IF('VEL-LECT'!AH:AH,"AAAAAFd39kA=",0)</f>
        <v>0</v>
      </c>
      <c r="BN13">
        <f>IF('VEL-LECT'!AI:AI,"AAAAAFd39kE=",0)</f>
        <v>0</v>
      </c>
      <c r="BO13">
        <f>IF('VEL-LECT'!AJ:AJ,"AAAAAFd39kI=",0)</f>
        <v>0</v>
      </c>
      <c r="BP13">
        <f>IF('VEL-LECT'!AK:AK,"AAAAAFd39kM=",0)</f>
        <v>0</v>
      </c>
      <c r="BQ13">
        <f>IF('VEL-LECT'!AL:AL,"AAAAAFd39kQ=",0)</f>
        <v>0</v>
      </c>
      <c r="BR13">
        <f>IF('VEL-LECT'!AM:AM,"AAAAAFd39kU=",0)</f>
        <v>0</v>
      </c>
      <c r="BS13">
        <f>IF('VEL-LECT'!AN:AN,"AAAAAFd39kY=",0)</f>
        <v>0</v>
      </c>
      <c r="BT13">
        <f>IF('VEL-LECT'!AO:AO,"AAAAAFd39kc=",0)</f>
        <v>0</v>
      </c>
      <c r="BU13">
        <f>IF('VEL-LECT'!AP:AP,"AAAAAFd39kg=",0)</f>
        <v>0</v>
      </c>
      <c r="BV13">
        <f>IF('VEL-LECT'!AQ:AQ,"AAAAAFd39kk=",0)</f>
        <v>0</v>
      </c>
      <c r="BW13">
        <f>IF('VEL-LECT'!AR:AR,"AAAAAFd39ko=",0)</f>
        <v>0</v>
      </c>
      <c r="BX13">
        <f>IF('VEL-LECT'!AS:AS,"AAAAAFd39ks=",0)</f>
        <v>0</v>
      </c>
      <c r="BY13">
        <f>IF('VEL-LECT'!AT:AT,"AAAAAFd39kw=",0)</f>
        <v>0</v>
      </c>
      <c r="BZ13">
        <f>IF('VEL-LECT'!AU:AU,"AAAAAFd39k0=",0)</f>
        <v>0</v>
      </c>
      <c r="CA13">
        <f>IF('VEL-LECT'!AV:AV,"AAAAAFd39k4=",0)</f>
        <v>0</v>
      </c>
      <c r="CB13">
        <f>IF('VEL-LECT'!AW:AW,"AAAAAFd39k8=",0)</f>
        <v>0</v>
      </c>
      <c r="CC13" s="22" t="s">
        <v>29</v>
      </c>
      <c r="CD13" t="s">
        <v>30</v>
      </c>
      <c r="CE13" t="e">
        <f>IF("N",'VEL-LECT'!PRINT_AREA,"AAAAAFd39lI=")</f>
        <v>#VALUE!</v>
      </c>
    </row>
    <row r="14" spans="1:256" ht="15">
      <c r="A14" t="e">
        <f>IF(#REF!,"AAAAAFw/ewA=",0)</f>
        <v>#REF!</v>
      </c>
      <c r="B14" t="e">
        <f>AND(#REF!,"AAAAAFw/ewE=")</f>
        <v>#REF!</v>
      </c>
      <c r="C14" t="e">
        <f>AND(#REF!,"AAAAAFw/ewI=")</f>
        <v>#REF!</v>
      </c>
      <c r="D14" t="e">
        <f>AND(#REF!,"AAAAAFw/ewM=")</f>
        <v>#REF!</v>
      </c>
      <c r="E14" t="e">
        <f>AND(#REF!,"AAAAAFw/ewQ=")</f>
        <v>#REF!</v>
      </c>
      <c r="F14" t="e">
        <f>AND(#REF!,"AAAAAFw/ewU=")</f>
        <v>#REF!</v>
      </c>
      <c r="G14" t="e">
        <f>AND(#REF!,"AAAAAFw/ewY=")</f>
        <v>#REF!</v>
      </c>
      <c r="H14" t="e">
        <f>AND(#REF!,"AAAAAFw/ewc=")</f>
        <v>#REF!</v>
      </c>
      <c r="I14" t="e">
        <f>AND(#REF!,"AAAAAFw/ewg=")</f>
        <v>#REF!</v>
      </c>
      <c r="J14" t="e">
        <f>AND(#REF!,"AAAAAFw/ewk=")</f>
        <v>#REF!</v>
      </c>
      <c r="K14" t="e">
        <f>AND(#REF!,"AAAAAFw/ewo=")</f>
        <v>#REF!</v>
      </c>
      <c r="L14" t="e">
        <f>AND(#REF!,"AAAAAFw/ews=")</f>
        <v>#REF!</v>
      </c>
      <c r="M14" t="e">
        <f>AND(#REF!,"AAAAAFw/eww=")</f>
        <v>#REF!</v>
      </c>
      <c r="N14" t="e">
        <f>IF(#REF!,"AAAAAFw/ew0=",0)</f>
        <v>#REF!</v>
      </c>
      <c r="O14" t="e">
        <f>AND(#REF!,"AAAAAFw/ew4=")</f>
        <v>#REF!</v>
      </c>
      <c r="P14" t="e">
        <f>AND(#REF!,"AAAAAFw/ew8=")</f>
        <v>#REF!</v>
      </c>
      <c r="Q14" t="e">
        <f>AND(#REF!,"AAAAAFw/exA=")</f>
        <v>#REF!</v>
      </c>
      <c r="R14" t="e">
        <f>AND(#REF!,"AAAAAFw/exE=")</f>
        <v>#REF!</v>
      </c>
      <c r="S14" t="e">
        <f>AND(#REF!,"AAAAAFw/exI=")</f>
        <v>#REF!</v>
      </c>
      <c r="T14" t="e">
        <f>AND(#REF!,"AAAAAFw/exM=")</f>
        <v>#REF!</v>
      </c>
      <c r="U14" t="e">
        <f>AND(#REF!,"AAAAAFw/exQ=")</f>
        <v>#REF!</v>
      </c>
      <c r="V14" t="e">
        <f>AND(#REF!,"AAAAAFw/exU=")</f>
        <v>#REF!</v>
      </c>
      <c r="W14" t="e">
        <f>AND(#REF!,"AAAAAFw/exY=")</f>
        <v>#REF!</v>
      </c>
      <c r="X14" t="e">
        <f>AND(#REF!,"AAAAAFw/exc=")</f>
        <v>#REF!</v>
      </c>
      <c r="Y14" t="e">
        <f>AND(#REF!,"AAAAAFw/exg=")</f>
        <v>#REF!</v>
      </c>
      <c r="Z14" t="e">
        <f>AND(#REF!,"AAAAAFw/exk=")</f>
        <v>#REF!</v>
      </c>
      <c r="AA14" t="e">
        <f>IF(#REF!,"AAAAAFw/exo=",0)</f>
        <v>#REF!</v>
      </c>
      <c r="AB14" t="e">
        <f>AND(#REF!,"AAAAAFw/exs=")</f>
        <v>#REF!</v>
      </c>
      <c r="AC14" t="e">
        <f>AND(#REF!,"AAAAAFw/exw=")</f>
        <v>#REF!</v>
      </c>
      <c r="AD14" t="e">
        <f>AND(#REF!,"AAAAAFw/ex0=")</f>
        <v>#REF!</v>
      </c>
      <c r="AE14" t="e">
        <f>AND(#REF!,"AAAAAFw/ex4=")</f>
        <v>#REF!</v>
      </c>
      <c r="AF14" t="e">
        <f>AND(#REF!,"AAAAAFw/ex8=")</f>
        <v>#REF!</v>
      </c>
      <c r="AG14" t="e">
        <f>AND(#REF!,"AAAAAFw/eyA=")</f>
        <v>#REF!</v>
      </c>
      <c r="AH14" t="e">
        <f>AND(#REF!,"AAAAAFw/eyE=")</f>
        <v>#REF!</v>
      </c>
      <c r="AI14" t="e">
        <f>AND(#REF!,"AAAAAFw/eyI=")</f>
        <v>#REF!</v>
      </c>
      <c r="AJ14" t="e">
        <f>AND(#REF!,"AAAAAFw/eyM=")</f>
        <v>#REF!</v>
      </c>
      <c r="AK14" t="e">
        <f>AND(#REF!,"AAAAAFw/eyQ=")</f>
        <v>#REF!</v>
      </c>
      <c r="AL14" t="e">
        <f>AND(#REF!,"AAAAAFw/eyU=")</f>
        <v>#REF!</v>
      </c>
      <c r="AM14" t="e">
        <f>AND(#REF!,"AAAAAFw/eyY=")</f>
        <v>#REF!</v>
      </c>
      <c r="AN14" t="e">
        <f>IF(#REF!,"AAAAAFw/eyc=",0)</f>
        <v>#REF!</v>
      </c>
      <c r="AO14" t="e">
        <f>AND(#REF!,"AAAAAFw/eyg=")</f>
        <v>#REF!</v>
      </c>
      <c r="AP14" t="e">
        <f>AND(#REF!,"AAAAAFw/eyk=")</f>
        <v>#REF!</v>
      </c>
      <c r="AQ14" t="e">
        <f>AND(#REF!,"AAAAAFw/eyo=")</f>
        <v>#REF!</v>
      </c>
      <c r="AR14" t="e">
        <f>AND(#REF!,"AAAAAFw/eys=")</f>
        <v>#REF!</v>
      </c>
      <c r="AS14" t="e">
        <f>AND(#REF!,"AAAAAFw/eyw=")</f>
        <v>#REF!</v>
      </c>
      <c r="AT14" t="e">
        <f>AND(#REF!,"AAAAAFw/ey0=")</f>
        <v>#REF!</v>
      </c>
      <c r="AU14" t="e">
        <f>AND(#REF!,"AAAAAFw/ey4=")</f>
        <v>#REF!</v>
      </c>
      <c r="AV14" t="e">
        <f>AND(#REF!,"AAAAAFw/ey8=")</f>
        <v>#REF!</v>
      </c>
      <c r="AW14" t="e">
        <f>AND(#REF!,"AAAAAFw/ezA=")</f>
        <v>#REF!</v>
      </c>
      <c r="AX14" t="e">
        <f>AND(#REF!,"AAAAAFw/ezE=")</f>
        <v>#REF!</v>
      </c>
      <c r="AY14" t="e">
        <f>AND(#REF!,"AAAAAFw/ezI=")</f>
        <v>#REF!</v>
      </c>
      <c r="AZ14" t="e">
        <f>AND(#REF!,"AAAAAFw/ezM=")</f>
        <v>#REF!</v>
      </c>
      <c r="BA14" t="e">
        <f>IF(#REF!,"AAAAAFw/ezQ=",0)</f>
        <v>#REF!</v>
      </c>
      <c r="BB14" t="e">
        <f>AND(#REF!,"AAAAAFw/ezU=")</f>
        <v>#REF!</v>
      </c>
      <c r="BC14" t="e">
        <f>AND(#REF!,"AAAAAFw/ezY=")</f>
        <v>#REF!</v>
      </c>
      <c r="BD14" t="e">
        <f>AND(#REF!,"AAAAAFw/ezc=")</f>
        <v>#REF!</v>
      </c>
      <c r="BE14" t="e">
        <f>AND(#REF!,"AAAAAFw/ezg=")</f>
        <v>#REF!</v>
      </c>
      <c r="BF14" t="e">
        <f>AND(#REF!,"AAAAAFw/ezk=")</f>
        <v>#REF!</v>
      </c>
      <c r="BG14" t="e">
        <f>AND(#REF!,"AAAAAFw/ezo=")</f>
        <v>#REF!</v>
      </c>
      <c r="BH14" t="e">
        <f>AND(#REF!,"AAAAAFw/ezs=")</f>
        <v>#REF!</v>
      </c>
      <c r="BI14" t="e">
        <f>AND(#REF!,"AAAAAFw/ezw=")</f>
        <v>#REF!</v>
      </c>
      <c r="BJ14" t="e">
        <f>AND(#REF!,"AAAAAFw/ez0=")</f>
        <v>#REF!</v>
      </c>
      <c r="BK14" t="e">
        <f>AND(#REF!,"AAAAAFw/ez4=")</f>
        <v>#REF!</v>
      </c>
      <c r="BL14" t="e">
        <f>AND(#REF!,"AAAAAFw/ez8=")</f>
        <v>#REF!</v>
      </c>
      <c r="BM14" t="e">
        <f>AND(#REF!,"AAAAAFw/e0A=")</f>
        <v>#REF!</v>
      </c>
      <c r="BN14" t="e">
        <f>IF(#REF!,"AAAAAFw/e0E=",0)</f>
        <v>#REF!</v>
      </c>
      <c r="BO14" t="e">
        <f>AND(#REF!,"AAAAAFw/e0I=")</f>
        <v>#REF!</v>
      </c>
      <c r="BP14" t="e">
        <f>AND(#REF!,"AAAAAFw/e0M=")</f>
        <v>#REF!</v>
      </c>
      <c r="BQ14" t="e">
        <f>AND(#REF!,"AAAAAFw/e0Q=")</f>
        <v>#REF!</v>
      </c>
      <c r="BR14" t="e">
        <f>AND(#REF!,"AAAAAFw/e0U=")</f>
        <v>#REF!</v>
      </c>
      <c r="BS14" t="e">
        <f>AND(#REF!,"AAAAAFw/e0Y=")</f>
        <v>#REF!</v>
      </c>
      <c r="BT14" t="e">
        <f>AND(#REF!,"AAAAAFw/e0c=")</f>
        <v>#REF!</v>
      </c>
      <c r="BU14" t="e">
        <f>AND(#REF!,"AAAAAFw/e0g=")</f>
        <v>#REF!</v>
      </c>
      <c r="BV14" t="e">
        <f>AND(#REF!,"AAAAAFw/e0k=")</f>
        <v>#REF!</v>
      </c>
      <c r="BW14" t="e">
        <f>AND(#REF!,"AAAAAFw/e0o=")</f>
        <v>#REF!</v>
      </c>
      <c r="BX14" t="e">
        <f>AND(#REF!,"AAAAAFw/e0s=")</f>
        <v>#REF!</v>
      </c>
      <c r="BY14" t="e">
        <f>AND(#REF!,"AAAAAFw/e0w=")</f>
        <v>#REF!</v>
      </c>
      <c r="BZ14" t="e">
        <f>AND(#REF!,"AAAAAFw/e00=")</f>
        <v>#REF!</v>
      </c>
      <c r="CA14" t="e">
        <f>IF(#REF!,"AAAAAFw/e04=",0)</f>
        <v>#REF!</v>
      </c>
      <c r="CB14" t="e">
        <f>AND(#REF!,"AAAAAFw/e08=")</f>
        <v>#REF!</v>
      </c>
      <c r="CC14" t="e">
        <f>AND(#REF!,"AAAAAFw/e1A=")</f>
        <v>#REF!</v>
      </c>
      <c r="CD14" t="e">
        <f>AND(#REF!,"AAAAAFw/e1E=")</f>
        <v>#REF!</v>
      </c>
      <c r="CE14" t="e">
        <f>AND(#REF!,"AAAAAFw/e1I=")</f>
        <v>#REF!</v>
      </c>
      <c r="CF14" t="e">
        <f>AND(#REF!,"AAAAAFw/e1M=")</f>
        <v>#REF!</v>
      </c>
      <c r="CG14" t="e">
        <f>AND(#REF!,"AAAAAFw/e1Q=")</f>
        <v>#REF!</v>
      </c>
      <c r="CH14" t="e">
        <f>AND(#REF!,"AAAAAFw/e1U=")</f>
        <v>#REF!</v>
      </c>
      <c r="CI14" t="e">
        <f>AND(#REF!,"AAAAAFw/e1Y=")</f>
        <v>#REF!</v>
      </c>
      <c r="CJ14" t="e">
        <f>AND(#REF!,"AAAAAFw/e1c=")</f>
        <v>#REF!</v>
      </c>
      <c r="CK14" t="e">
        <f>AND(#REF!,"AAAAAFw/e1g=")</f>
        <v>#REF!</v>
      </c>
      <c r="CL14" t="e">
        <f>AND(#REF!,"AAAAAFw/e1k=")</f>
        <v>#REF!</v>
      </c>
      <c r="CM14" t="e">
        <f>AND(#REF!,"AAAAAFw/e1o=")</f>
        <v>#REF!</v>
      </c>
      <c r="CN14" t="e">
        <f>IF(#REF!,"AAAAAFw/e1s=",0)</f>
        <v>#REF!</v>
      </c>
      <c r="CO14" t="e">
        <f>AND(#REF!,"AAAAAFw/e1w=")</f>
        <v>#REF!</v>
      </c>
      <c r="CP14" t="e">
        <f>AND(#REF!,"AAAAAFw/e10=")</f>
        <v>#REF!</v>
      </c>
      <c r="CQ14" t="e">
        <f>AND(#REF!,"AAAAAFw/e14=")</f>
        <v>#REF!</v>
      </c>
      <c r="CR14" t="e">
        <f>AND(#REF!,"AAAAAFw/e18=")</f>
        <v>#REF!</v>
      </c>
      <c r="CS14" t="e">
        <f>AND(#REF!,"AAAAAFw/e2A=")</f>
        <v>#REF!</v>
      </c>
      <c r="CT14" t="e">
        <f>AND(#REF!,"AAAAAFw/e2E=")</f>
        <v>#REF!</v>
      </c>
      <c r="CU14" t="e">
        <f>AND(#REF!,"AAAAAFw/e2I=")</f>
        <v>#REF!</v>
      </c>
      <c r="CV14" t="e">
        <f>AND(#REF!,"AAAAAFw/e2M=")</f>
        <v>#REF!</v>
      </c>
      <c r="CW14" t="e">
        <f>AND(#REF!,"AAAAAFw/e2Q=")</f>
        <v>#REF!</v>
      </c>
      <c r="CX14" t="e">
        <f>AND(#REF!,"AAAAAFw/e2U=")</f>
        <v>#REF!</v>
      </c>
      <c r="CY14" t="e">
        <f>AND(#REF!,"AAAAAFw/e2Y=")</f>
        <v>#REF!</v>
      </c>
      <c r="CZ14" t="e">
        <f>AND(#REF!,"AAAAAFw/e2c=")</f>
        <v>#REF!</v>
      </c>
      <c r="DA14" t="e">
        <f>IF(#REF!,"AAAAAFw/e2g=",0)</f>
        <v>#REF!</v>
      </c>
      <c r="DB14" t="e">
        <f>AND(#REF!,"AAAAAFw/e2k=")</f>
        <v>#REF!</v>
      </c>
      <c r="DC14" t="e">
        <f>AND(#REF!,"AAAAAFw/e2o=")</f>
        <v>#REF!</v>
      </c>
      <c r="DD14" t="e">
        <f>AND(#REF!,"AAAAAFw/e2s=")</f>
        <v>#REF!</v>
      </c>
      <c r="DE14" t="e">
        <f>AND(#REF!,"AAAAAFw/e2w=")</f>
        <v>#REF!</v>
      </c>
      <c r="DF14" t="e">
        <f>AND(#REF!,"AAAAAFw/e20=")</f>
        <v>#REF!</v>
      </c>
      <c r="DG14" t="e">
        <f>AND(#REF!,"AAAAAFw/e24=")</f>
        <v>#REF!</v>
      </c>
      <c r="DH14" t="e">
        <f>AND(#REF!,"AAAAAFw/e28=")</f>
        <v>#REF!</v>
      </c>
      <c r="DI14" t="e">
        <f>AND(#REF!,"AAAAAFw/e3A=")</f>
        <v>#REF!</v>
      </c>
      <c r="DJ14" t="e">
        <f>AND(#REF!,"AAAAAFw/e3E=")</f>
        <v>#REF!</v>
      </c>
      <c r="DK14" t="e">
        <f>AND(#REF!,"AAAAAFw/e3I=")</f>
        <v>#REF!</v>
      </c>
      <c r="DL14" t="e">
        <f>AND(#REF!,"AAAAAFw/e3M=")</f>
        <v>#REF!</v>
      </c>
      <c r="DM14" t="e">
        <f>AND(#REF!,"AAAAAFw/e3Q=")</f>
        <v>#REF!</v>
      </c>
      <c r="DN14" t="e">
        <f>IF(#REF!,"AAAAAFw/e3U=",0)</f>
        <v>#REF!</v>
      </c>
      <c r="DO14" t="e">
        <f>AND(#REF!,"AAAAAFw/e3Y=")</f>
        <v>#REF!</v>
      </c>
      <c r="DP14" t="e">
        <f>AND(#REF!,"AAAAAFw/e3c=")</f>
        <v>#REF!</v>
      </c>
      <c r="DQ14" t="e">
        <f>AND(#REF!,"AAAAAFw/e3g=")</f>
        <v>#REF!</v>
      </c>
      <c r="DR14" t="e">
        <f>AND(#REF!,"AAAAAFw/e3k=")</f>
        <v>#REF!</v>
      </c>
      <c r="DS14" t="e">
        <f>AND(#REF!,"AAAAAFw/e3o=")</f>
        <v>#REF!</v>
      </c>
      <c r="DT14" t="e">
        <f>AND(#REF!,"AAAAAFw/e3s=")</f>
        <v>#REF!</v>
      </c>
      <c r="DU14" t="e">
        <f>AND(#REF!,"AAAAAFw/e3w=")</f>
        <v>#REF!</v>
      </c>
      <c r="DV14" t="e">
        <f>AND(#REF!,"AAAAAFw/e30=")</f>
        <v>#REF!</v>
      </c>
      <c r="DW14" t="e">
        <f>AND(#REF!,"AAAAAFw/e34=")</f>
        <v>#REF!</v>
      </c>
      <c r="DX14" t="e">
        <f>AND(#REF!,"AAAAAFw/e38=")</f>
        <v>#REF!</v>
      </c>
      <c r="DY14" t="e">
        <f>AND(#REF!,"AAAAAFw/e4A=")</f>
        <v>#REF!</v>
      </c>
      <c r="DZ14" t="e">
        <f>AND(#REF!,"AAAAAFw/e4E=")</f>
        <v>#REF!</v>
      </c>
      <c r="EA14" t="e">
        <f>IF(#REF!,"AAAAAFw/e4I=",0)</f>
        <v>#REF!</v>
      </c>
      <c r="EB14" t="e">
        <f>AND(#REF!,"AAAAAFw/e4M=")</f>
        <v>#REF!</v>
      </c>
      <c r="EC14" t="e">
        <f>AND(#REF!,"AAAAAFw/e4Q=")</f>
        <v>#REF!</v>
      </c>
      <c r="ED14" t="e">
        <f>AND(#REF!,"AAAAAFw/e4U=")</f>
        <v>#REF!</v>
      </c>
      <c r="EE14" t="e">
        <f>AND(#REF!,"AAAAAFw/e4Y=")</f>
        <v>#REF!</v>
      </c>
      <c r="EF14" t="e">
        <f>AND(#REF!,"AAAAAFw/e4c=")</f>
        <v>#REF!</v>
      </c>
      <c r="EG14" t="e">
        <f>AND(#REF!,"AAAAAFw/e4g=")</f>
        <v>#REF!</v>
      </c>
      <c r="EH14" t="e">
        <f>AND(#REF!,"AAAAAFw/e4k=")</f>
        <v>#REF!</v>
      </c>
      <c r="EI14" t="e">
        <f>AND(#REF!,"AAAAAFw/e4o=")</f>
        <v>#REF!</v>
      </c>
      <c r="EJ14" t="e">
        <f>AND(#REF!,"AAAAAFw/e4s=")</f>
        <v>#REF!</v>
      </c>
      <c r="EK14" t="e">
        <f>AND(#REF!,"AAAAAFw/e4w=")</f>
        <v>#REF!</v>
      </c>
      <c r="EL14" t="e">
        <f>AND(#REF!,"AAAAAFw/e40=")</f>
        <v>#REF!</v>
      </c>
      <c r="EM14" t="e">
        <f>AND(#REF!,"AAAAAFw/e44=")</f>
        <v>#REF!</v>
      </c>
      <c r="EN14" t="e">
        <f>IF(#REF!,"AAAAAFw/e48=",0)</f>
        <v>#REF!</v>
      </c>
      <c r="EO14" t="e">
        <f>AND(#REF!,"AAAAAFw/e5A=")</f>
        <v>#REF!</v>
      </c>
      <c r="EP14" t="e">
        <f>AND(#REF!,"AAAAAFw/e5E=")</f>
        <v>#REF!</v>
      </c>
      <c r="EQ14" t="e">
        <f>AND(#REF!,"AAAAAFw/e5I=")</f>
        <v>#REF!</v>
      </c>
      <c r="ER14" t="e">
        <f>AND(#REF!,"AAAAAFw/e5M=")</f>
        <v>#REF!</v>
      </c>
      <c r="ES14" t="e">
        <f>AND(#REF!,"AAAAAFw/e5Q=")</f>
        <v>#REF!</v>
      </c>
      <c r="ET14" t="e">
        <f>AND(#REF!,"AAAAAFw/e5U=")</f>
        <v>#REF!</v>
      </c>
      <c r="EU14" t="e">
        <f>AND(#REF!,"AAAAAFw/e5Y=")</f>
        <v>#REF!</v>
      </c>
      <c r="EV14" t="e">
        <f>AND(#REF!,"AAAAAFw/e5c=")</f>
        <v>#REF!</v>
      </c>
      <c r="EW14" t="e">
        <f>AND(#REF!,"AAAAAFw/e5g=")</f>
        <v>#REF!</v>
      </c>
      <c r="EX14" t="e">
        <f>AND(#REF!,"AAAAAFw/e5k=")</f>
        <v>#REF!</v>
      </c>
      <c r="EY14" t="e">
        <f>AND(#REF!,"AAAAAFw/e5o=")</f>
        <v>#REF!</v>
      </c>
      <c r="EZ14" t="e">
        <f>AND(#REF!,"AAAAAFw/e5s=")</f>
        <v>#REF!</v>
      </c>
      <c r="FA14" t="e">
        <f>IF(#REF!,"AAAAAFw/e5w=",0)</f>
        <v>#REF!</v>
      </c>
      <c r="FB14" t="e">
        <f>AND(#REF!,"AAAAAFw/e50=")</f>
        <v>#REF!</v>
      </c>
      <c r="FC14" t="e">
        <f>AND(#REF!,"AAAAAFw/e54=")</f>
        <v>#REF!</v>
      </c>
      <c r="FD14" t="e">
        <f>AND(#REF!,"AAAAAFw/e58=")</f>
        <v>#REF!</v>
      </c>
      <c r="FE14" t="e">
        <f>AND(#REF!,"AAAAAFw/e6A=")</f>
        <v>#REF!</v>
      </c>
      <c r="FF14" t="e">
        <f>AND(#REF!,"AAAAAFw/e6E=")</f>
        <v>#REF!</v>
      </c>
      <c r="FG14" t="e">
        <f>AND(#REF!,"AAAAAFw/e6I=")</f>
        <v>#REF!</v>
      </c>
      <c r="FH14" t="e">
        <f>AND(#REF!,"AAAAAFw/e6M=")</f>
        <v>#REF!</v>
      </c>
      <c r="FI14" t="e">
        <f>AND(#REF!,"AAAAAFw/e6Q=")</f>
        <v>#REF!</v>
      </c>
      <c r="FJ14" t="e">
        <f>AND(#REF!,"AAAAAFw/e6U=")</f>
        <v>#REF!</v>
      </c>
      <c r="FK14" t="e">
        <f>AND(#REF!,"AAAAAFw/e6Y=")</f>
        <v>#REF!</v>
      </c>
      <c r="FL14" t="e">
        <f>AND(#REF!,"AAAAAFw/e6c=")</f>
        <v>#REF!</v>
      </c>
      <c r="FM14" t="e">
        <f>AND(#REF!,"AAAAAFw/e6g=")</f>
        <v>#REF!</v>
      </c>
      <c r="FN14" t="e">
        <f>IF(#REF!,"AAAAAFw/e6k=",0)</f>
        <v>#REF!</v>
      </c>
      <c r="FO14" t="e">
        <f>AND(#REF!,"AAAAAFw/e6o=")</f>
        <v>#REF!</v>
      </c>
      <c r="FP14" t="e">
        <f>AND(#REF!,"AAAAAFw/e6s=")</f>
        <v>#REF!</v>
      </c>
      <c r="FQ14" t="e">
        <f>AND(#REF!,"AAAAAFw/e6w=")</f>
        <v>#REF!</v>
      </c>
      <c r="FR14" t="e">
        <f>AND(#REF!,"AAAAAFw/e60=")</f>
        <v>#REF!</v>
      </c>
      <c r="FS14" t="e">
        <f>AND(#REF!,"AAAAAFw/e64=")</f>
        <v>#REF!</v>
      </c>
      <c r="FT14" t="e">
        <f>AND(#REF!,"AAAAAFw/e68=")</f>
        <v>#REF!</v>
      </c>
      <c r="FU14" t="e">
        <f>AND(#REF!,"AAAAAFw/e7A=")</f>
        <v>#REF!</v>
      </c>
      <c r="FV14" t="e">
        <f>AND(#REF!,"AAAAAFw/e7E=")</f>
        <v>#REF!</v>
      </c>
      <c r="FW14" t="e">
        <f>AND(#REF!,"AAAAAFw/e7I=")</f>
        <v>#REF!</v>
      </c>
      <c r="FX14" t="e">
        <f>AND(#REF!,"AAAAAFw/e7M=")</f>
        <v>#REF!</v>
      </c>
      <c r="FY14" t="e">
        <f>AND(#REF!,"AAAAAFw/e7Q=")</f>
        <v>#REF!</v>
      </c>
      <c r="FZ14" t="e">
        <f>AND(#REF!,"AAAAAFw/e7U=")</f>
        <v>#REF!</v>
      </c>
      <c r="GA14" t="e">
        <f>IF(#REF!,"AAAAAFw/e7Y=",0)</f>
        <v>#REF!</v>
      </c>
      <c r="GB14" t="e">
        <f>AND(#REF!,"AAAAAFw/e7c=")</f>
        <v>#REF!</v>
      </c>
      <c r="GC14" t="e">
        <f>AND(#REF!,"AAAAAFw/e7g=")</f>
        <v>#REF!</v>
      </c>
      <c r="GD14" t="e">
        <f>AND(#REF!,"AAAAAFw/e7k=")</f>
        <v>#REF!</v>
      </c>
      <c r="GE14" t="e">
        <f>AND(#REF!,"AAAAAFw/e7o=")</f>
        <v>#REF!</v>
      </c>
      <c r="GF14" t="e">
        <f>AND(#REF!,"AAAAAFw/e7s=")</f>
        <v>#REF!</v>
      </c>
      <c r="GG14" t="e">
        <f>AND(#REF!,"AAAAAFw/e7w=")</f>
        <v>#REF!</v>
      </c>
      <c r="GH14" t="e">
        <f>AND(#REF!,"AAAAAFw/e70=")</f>
        <v>#REF!</v>
      </c>
      <c r="GI14" t="e">
        <f>AND(#REF!,"AAAAAFw/e74=")</f>
        <v>#REF!</v>
      </c>
      <c r="GJ14" t="e">
        <f>AND(#REF!,"AAAAAFw/e78=")</f>
        <v>#REF!</v>
      </c>
      <c r="GK14" t="e">
        <f>AND(#REF!,"AAAAAFw/e8A=")</f>
        <v>#REF!</v>
      </c>
      <c r="GL14" t="e">
        <f>AND(#REF!,"AAAAAFw/e8E=")</f>
        <v>#REF!</v>
      </c>
      <c r="GM14" t="e">
        <f>AND(#REF!,"AAAAAFw/e8I=")</f>
        <v>#REF!</v>
      </c>
      <c r="GN14" t="e">
        <f>IF(#REF!,"AAAAAFw/e8M=",0)</f>
        <v>#REF!</v>
      </c>
      <c r="GO14" t="e">
        <f>AND(#REF!,"AAAAAFw/e8Q=")</f>
        <v>#REF!</v>
      </c>
      <c r="GP14" t="e">
        <f>AND(#REF!,"AAAAAFw/e8U=")</f>
        <v>#REF!</v>
      </c>
      <c r="GQ14" t="e">
        <f>AND(#REF!,"AAAAAFw/e8Y=")</f>
        <v>#REF!</v>
      </c>
      <c r="GR14" t="e">
        <f>AND(#REF!,"AAAAAFw/e8c=")</f>
        <v>#REF!</v>
      </c>
      <c r="GS14" t="e">
        <f>AND(#REF!,"AAAAAFw/e8g=")</f>
        <v>#REF!</v>
      </c>
      <c r="GT14" t="e">
        <f>AND(#REF!,"AAAAAFw/e8k=")</f>
        <v>#REF!</v>
      </c>
      <c r="GU14" t="e">
        <f>AND(#REF!,"AAAAAFw/e8o=")</f>
        <v>#REF!</v>
      </c>
      <c r="GV14" t="e">
        <f>AND(#REF!,"AAAAAFw/e8s=")</f>
        <v>#REF!</v>
      </c>
      <c r="GW14" t="e">
        <f>AND(#REF!,"AAAAAFw/e8w=")</f>
        <v>#REF!</v>
      </c>
      <c r="GX14" t="e">
        <f>AND(#REF!,"AAAAAFw/e80=")</f>
        <v>#REF!</v>
      </c>
      <c r="GY14" t="e">
        <f>AND(#REF!,"AAAAAFw/e84=")</f>
        <v>#REF!</v>
      </c>
      <c r="GZ14" t="e">
        <f>AND(#REF!,"AAAAAFw/e88=")</f>
        <v>#REF!</v>
      </c>
      <c r="HA14" t="e">
        <f>IF(#REF!,"AAAAAFw/e9A=",0)</f>
        <v>#REF!</v>
      </c>
      <c r="HB14" t="e">
        <f>AND(#REF!,"AAAAAFw/e9E=")</f>
        <v>#REF!</v>
      </c>
      <c r="HC14" t="e">
        <f>AND(#REF!,"AAAAAFw/e9I=")</f>
        <v>#REF!</v>
      </c>
      <c r="HD14" t="e">
        <f>AND(#REF!,"AAAAAFw/e9M=")</f>
        <v>#REF!</v>
      </c>
      <c r="HE14" t="e">
        <f>AND(#REF!,"AAAAAFw/e9Q=")</f>
        <v>#REF!</v>
      </c>
      <c r="HF14" t="e">
        <f>AND(#REF!,"AAAAAFw/e9U=")</f>
        <v>#REF!</v>
      </c>
      <c r="HG14" t="e">
        <f>AND(#REF!,"AAAAAFw/e9Y=")</f>
        <v>#REF!</v>
      </c>
      <c r="HH14" t="e">
        <f>AND(#REF!,"AAAAAFw/e9c=")</f>
        <v>#REF!</v>
      </c>
      <c r="HI14" t="e">
        <f>AND(#REF!,"AAAAAFw/e9g=")</f>
        <v>#REF!</v>
      </c>
      <c r="HJ14" t="e">
        <f>AND(#REF!,"AAAAAFw/e9k=")</f>
        <v>#REF!</v>
      </c>
      <c r="HK14" t="e">
        <f>AND(#REF!,"AAAAAFw/e9o=")</f>
        <v>#REF!</v>
      </c>
      <c r="HL14" t="e">
        <f>AND(#REF!,"AAAAAFw/e9s=")</f>
        <v>#REF!</v>
      </c>
      <c r="HM14" t="e">
        <f>AND(#REF!,"AAAAAFw/e9w=")</f>
        <v>#REF!</v>
      </c>
      <c r="HN14" t="e">
        <f>IF(#REF!,"AAAAAFw/e90=",0)</f>
        <v>#REF!</v>
      </c>
      <c r="HO14" t="e">
        <f>AND(#REF!,"AAAAAFw/e94=")</f>
        <v>#REF!</v>
      </c>
      <c r="HP14" t="e">
        <f>AND(#REF!,"AAAAAFw/e98=")</f>
        <v>#REF!</v>
      </c>
      <c r="HQ14" t="e">
        <f>AND(#REF!,"AAAAAFw/e+A=")</f>
        <v>#REF!</v>
      </c>
      <c r="HR14" t="e">
        <f>AND(#REF!,"AAAAAFw/e+E=")</f>
        <v>#REF!</v>
      </c>
      <c r="HS14" t="e">
        <f>AND(#REF!,"AAAAAFw/e+I=")</f>
        <v>#REF!</v>
      </c>
      <c r="HT14" t="e">
        <f>AND(#REF!,"AAAAAFw/e+M=")</f>
        <v>#REF!</v>
      </c>
      <c r="HU14" t="e">
        <f>AND(#REF!,"AAAAAFw/e+Q=")</f>
        <v>#REF!</v>
      </c>
      <c r="HV14" t="e">
        <f>AND(#REF!,"AAAAAFw/e+U=")</f>
        <v>#REF!</v>
      </c>
      <c r="HW14" t="e">
        <f>AND(#REF!,"AAAAAFw/e+Y=")</f>
        <v>#REF!</v>
      </c>
      <c r="HX14" t="e">
        <f>AND(#REF!,"AAAAAFw/e+c=")</f>
        <v>#REF!</v>
      </c>
      <c r="HY14" t="e">
        <f>AND(#REF!,"AAAAAFw/e+g=")</f>
        <v>#REF!</v>
      </c>
      <c r="HZ14" t="e">
        <f>AND(#REF!,"AAAAAFw/e+k=")</f>
        <v>#REF!</v>
      </c>
      <c r="IA14" t="e">
        <f>IF(#REF!,"AAAAAFw/e+o=",0)</f>
        <v>#REF!</v>
      </c>
      <c r="IB14" t="e">
        <f>AND(#REF!,"AAAAAFw/e+s=")</f>
        <v>#REF!</v>
      </c>
      <c r="IC14" t="e">
        <f>AND(#REF!,"AAAAAFw/e+w=")</f>
        <v>#REF!</v>
      </c>
      <c r="ID14" t="e">
        <f>AND(#REF!,"AAAAAFw/e+0=")</f>
        <v>#REF!</v>
      </c>
      <c r="IE14" t="e">
        <f>AND(#REF!,"AAAAAFw/e+4=")</f>
        <v>#REF!</v>
      </c>
      <c r="IF14" t="e">
        <f>AND(#REF!,"AAAAAFw/e+8=")</f>
        <v>#REF!</v>
      </c>
      <c r="IG14" t="e">
        <f>AND(#REF!,"AAAAAFw/e/A=")</f>
        <v>#REF!</v>
      </c>
      <c r="IH14" t="e">
        <f>AND(#REF!,"AAAAAFw/e/E=")</f>
        <v>#REF!</v>
      </c>
      <c r="II14" t="e">
        <f>AND(#REF!,"AAAAAFw/e/I=")</f>
        <v>#REF!</v>
      </c>
      <c r="IJ14" t="e">
        <f>AND(#REF!,"AAAAAFw/e/M=")</f>
        <v>#REF!</v>
      </c>
      <c r="IK14" t="e">
        <f>AND(#REF!,"AAAAAFw/e/Q=")</f>
        <v>#REF!</v>
      </c>
      <c r="IL14" t="e">
        <f>AND(#REF!,"AAAAAFw/e/U=")</f>
        <v>#REF!</v>
      </c>
      <c r="IM14" t="e">
        <f>AND(#REF!,"AAAAAFw/e/Y=")</f>
        <v>#REF!</v>
      </c>
      <c r="IN14" t="e">
        <f>IF(#REF!,"AAAAAFw/e/c=",0)</f>
        <v>#REF!</v>
      </c>
      <c r="IO14" t="e">
        <f>AND(#REF!,"AAAAAFw/e/g=")</f>
        <v>#REF!</v>
      </c>
      <c r="IP14" t="e">
        <f>AND(#REF!,"AAAAAFw/e/k=")</f>
        <v>#REF!</v>
      </c>
      <c r="IQ14" t="e">
        <f>AND(#REF!,"AAAAAFw/e/o=")</f>
        <v>#REF!</v>
      </c>
      <c r="IR14" t="e">
        <f>AND(#REF!,"AAAAAFw/e/s=")</f>
        <v>#REF!</v>
      </c>
      <c r="IS14" t="e">
        <f>AND(#REF!,"AAAAAFw/e/w=")</f>
        <v>#REF!</v>
      </c>
      <c r="IT14" t="e">
        <f>AND(#REF!,"AAAAAFw/e/0=")</f>
        <v>#REF!</v>
      </c>
      <c r="IU14" t="e">
        <f>AND(#REF!,"AAAAAFw/e/4=")</f>
        <v>#REF!</v>
      </c>
      <c r="IV14" t="e">
        <f>AND(#REF!,"AAAAAFw/e/8=")</f>
        <v>#REF!</v>
      </c>
    </row>
    <row r="15" spans="1:186" ht="15">
      <c r="A15" t="e">
        <f>AND(#REF!,"AAAAAH9k+wA=")</f>
        <v>#REF!</v>
      </c>
      <c r="B15" t="e">
        <f>AND(#REF!,"AAAAAH9k+wE=")</f>
        <v>#REF!</v>
      </c>
      <c r="C15" t="e">
        <f>AND(#REF!,"AAAAAH9k+wI=")</f>
        <v>#REF!</v>
      </c>
      <c r="D15" t="e">
        <f>AND(#REF!,"AAAAAH9k+wM=")</f>
        <v>#REF!</v>
      </c>
      <c r="E15" t="e">
        <f>IF(#REF!,"AAAAAH9k+wQ=",0)</f>
        <v>#REF!</v>
      </c>
      <c r="F15" t="e">
        <f>AND(#REF!,"AAAAAH9k+wU=")</f>
        <v>#REF!</v>
      </c>
      <c r="G15" t="e">
        <f>AND(#REF!,"AAAAAH9k+wY=")</f>
        <v>#REF!</v>
      </c>
      <c r="H15" t="e">
        <f>AND(#REF!,"AAAAAH9k+wc=")</f>
        <v>#REF!</v>
      </c>
      <c r="I15" t="e">
        <f>AND(#REF!,"AAAAAH9k+wg=")</f>
        <v>#REF!</v>
      </c>
      <c r="J15" t="e">
        <f>AND(#REF!,"AAAAAH9k+wk=")</f>
        <v>#REF!</v>
      </c>
      <c r="K15" t="e">
        <f>AND(#REF!,"AAAAAH9k+wo=")</f>
        <v>#REF!</v>
      </c>
      <c r="L15" t="e">
        <f>AND(#REF!,"AAAAAH9k+ws=")</f>
        <v>#REF!</v>
      </c>
      <c r="M15" t="e">
        <f>AND(#REF!,"AAAAAH9k+ww=")</f>
        <v>#REF!</v>
      </c>
      <c r="N15" t="e">
        <f>AND(#REF!,"AAAAAH9k+w0=")</f>
        <v>#REF!</v>
      </c>
      <c r="O15" t="e">
        <f>AND(#REF!,"AAAAAH9k+w4=")</f>
        <v>#REF!</v>
      </c>
      <c r="P15" t="e">
        <f>AND(#REF!,"AAAAAH9k+w8=")</f>
        <v>#REF!</v>
      </c>
      <c r="Q15" t="e">
        <f>AND(#REF!,"AAAAAH9k+xA=")</f>
        <v>#REF!</v>
      </c>
      <c r="R15" t="e">
        <f>IF(#REF!,"AAAAAH9k+xE=",0)</f>
        <v>#REF!</v>
      </c>
      <c r="S15" t="e">
        <f>AND(#REF!,"AAAAAH9k+xI=")</f>
        <v>#REF!</v>
      </c>
      <c r="T15" t="e">
        <f>AND(#REF!,"AAAAAH9k+xM=")</f>
        <v>#REF!</v>
      </c>
      <c r="U15" t="e">
        <f>AND(#REF!,"AAAAAH9k+xQ=")</f>
        <v>#REF!</v>
      </c>
      <c r="V15" t="e">
        <f>AND(#REF!,"AAAAAH9k+xU=")</f>
        <v>#REF!</v>
      </c>
      <c r="W15" t="e">
        <f>AND(#REF!,"AAAAAH9k+xY=")</f>
        <v>#REF!</v>
      </c>
      <c r="X15" t="e">
        <f>AND(#REF!,"AAAAAH9k+xc=")</f>
        <v>#REF!</v>
      </c>
      <c r="Y15" t="e">
        <f>AND(#REF!,"AAAAAH9k+xg=")</f>
        <v>#REF!</v>
      </c>
      <c r="Z15" t="e">
        <f>AND(#REF!,"AAAAAH9k+xk=")</f>
        <v>#REF!</v>
      </c>
      <c r="AA15" t="e">
        <f>AND(#REF!,"AAAAAH9k+xo=")</f>
        <v>#REF!</v>
      </c>
      <c r="AB15" t="e">
        <f>AND(#REF!,"AAAAAH9k+xs=")</f>
        <v>#REF!</v>
      </c>
      <c r="AC15" t="e">
        <f>AND(#REF!,"AAAAAH9k+xw=")</f>
        <v>#REF!</v>
      </c>
      <c r="AD15" t="e">
        <f>AND(#REF!,"AAAAAH9k+x0=")</f>
        <v>#REF!</v>
      </c>
      <c r="AE15" t="e">
        <f>IF(#REF!,"AAAAAH9k+x4=",0)</f>
        <v>#REF!</v>
      </c>
      <c r="AF15" t="e">
        <f>AND(#REF!,"AAAAAH9k+x8=")</f>
        <v>#REF!</v>
      </c>
      <c r="AG15" t="e">
        <f>AND(#REF!,"AAAAAH9k+yA=")</f>
        <v>#REF!</v>
      </c>
      <c r="AH15" t="e">
        <f>AND(#REF!,"AAAAAH9k+yE=")</f>
        <v>#REF!</v>
      </c>
      <c r="AI15" t="e">
        <f>AND(#REF!,"AAAAAH9k+yI=")</f>
        <v>#REF!</v>
      </c>
      <c r="AJ15" t="e">
        <f>AND(#REF!,"AAAAAH9k+yM=")</f>
        <v>#REF!</v>
      </c>
      <c r="AK15" t="e">
        <f>AND(#REF!,"AAAAAH9k+yQ=")</f>
        <v>#REF!</v>
      </c>
      <c r="AL15" t="e">
        <f>AND(#REF!,"AAAAAH9k+yU=")</f>
        <v>#REF!</v>
      </c>
      <c r="AM15" t="e">
        <f>AND(#REF!,"AAAAAH9k+yY=")</f>
        <v>#REF!</v>
      </c>
      <c r="AN15" t="e">
        <f>AND(#REF!,"AAAAAH9k+yc=")</f>
        <v>#REF!</v>
      </c>
      <c r="AO15" t="e">
        <f>AND(#REF!,"AAAAAH9k+yg=")</f>
        <v>#REF!</v>
      </c>
      <c r="AP15" t="e">
        <f>AND(#REF!,"AAAAAH9k+yk=")</f>
        <v>#REF!</v>
      </c>
      <c r="AQ15" t="e">
        <f>AND(#REF!,"AAAAAH9k+yo=")</f>
        <v>#REF!</v>
      </c>
      <c r="AR15" t="e">
        <f>IF(#REF!,"AAAAAH9k+ys=",0)</f>
        <v>#REF!</v>
      </c>
      <c r="AS15" t="e">
        <f>AND(#REF!,"AAAAAH9k+yw=")</f>
        <v>#REF!</v>
      </c>
      <c r="AT15" t="e">
        <f>AND(#REF!,"AAAAAH9k+y0=")</f>
        <v>#REF!</v>
      </c>
      <c r="AU15" t="e">
        <f>AND(#REF!,"AAAAAH9k+y4=")</f>
        <v>#REF!</v>
      </c>
      <c r="AV15" t="e">
        <f>AND(#REF!,"AAAAAH9k+y8=")</f>
        <v>#REF!</v>
      </c>
      <c r="AW15" t="e">
        <f>AND(#REF!,"AAAAAH9k+zA=")</f>
        <v>#REF!</v>
      </c>
      <c r="AX15" t="e">
        <f>AND(#REF!,"AAAAAH9k+zE=")</f>
        <v>#REF!</v>
      </c>
      <c r="AY15" t="e">
        <f>AND(#REF!,"AAAAAH9k+zI=")</f>
        <v>#REF!</v>
      </c>
      <c r="AZ15" t="e">
        <f>AND(#REF!,"AAAAAH9k+zM=")</f>
        <v>#REF!</v>
      </c>
      <c r="BA15" t="e">
        <f>AND(#REF!,"AAAAAH9k+zQ=")</f>
        <v>#REF!</v>
      </c>
      <c r="BB15" t="e">
        <f>AND(#REF!,"AAAAAH9k+zU=")</f>
        <v>#REF!</v>
      </c>
      <c r="BC15" t="e">
        <f>AND(#REF!,"AAAAAH9k+zY=")</f>
        <v>#REF!</v>
      </c>
      <c r="BD15" t="e">
        <f>AND(#REF!,"AAAAAH9k+zc=")</f>
        <v>#REF!</v>
      </c>
      <c r="BE15" t="e">
        <f>IF(#REF!,"AAAAAH9k+zg=",0)</f>
        <v>#REF!</v>
      </c>
      <c r="BF15" t="e">
        <f>AND(#REF!,"AAAAAH9k+zk=")</f>
        <v>#REF!</v>
      </c>
      <c r="BG15" t="e">
        <f>AND(#REF!,"AAAAAH9k+zo=")</f>
        <v>#REF!</v>
      </c>
      <c r="BH15" t="e">
        <f>AND(#REF!,"AAAAAH9k+zs=")</f>
        <v>#REF!</v>
      </c>
      <c r="BI15" t="e">
        <f>AND(#REF!,"AAAAAH9k+zw=")</f>
        <v>#REF!</v>
      </c>
      <c r="BJ15" t="e">
        <f>AND(#REF!,"AAAAAH9k+z0=")</f>
        <v>#REF!</v>
      </c>
      <c r="BK15" t="e">
        <f>AND(#REF!,"AAAAAH9k+z4=")</f>
        <v>#REF!</v>
      </c>
      <c r="BL15" t="e">
        <f>AND(#REF!,"AAAAAH9k+z8=")</f>
        <v>#REF!</v>
      </c>
      <c r="BM15" t="e">
        <f>AND(#REF!,"AAAAAH9k+0A=")</f>
        <v>#REF!</v>
      </c>
      <c r="BN15" t="e">
        <f>AND(#REF!,"AAAAAH9k+0E=")</f>
        <v>#REF!</v>
      </c>
      <c r="BO15" t="e">
        <f>AND(#REF!,"AAAAAH9k+0I=")</f>
        <v>#REF!</v>
      </c>
      <c r="BP15" t="e">
        <f>AND(#REF!,"AAAAAH9k+0M=")</f>
        <v>#REF!</v>
      </c>
      <c r="BQ15" t="e">
        <f>AND(#REF!,"AAAAAH9k+0Q=")</f>
        <v>#REF!</v>
      </c>
      <c r="BR15" t="e">
        <f>IF(#REF!,"AAAAAH9k+0U=",0)</f>
        <v>#REF!</v>
      </c>
      <c r="BS15" t="e">
        <f>AND(#REF!,"AAAAAH9k+0Y=")</f>
        <v>#REF!</v>
      </c>
      <c r="BT15" t="e">
        <f>AND(#REF!,"AAAAAH9k+0c=")</f>
        <v>#REF!</v>
      </c>
      <c r="BU15" t="e">
        <f>AND(#REF!,"AAAAAH9k+0g=")</f>
        <v>#REF!</v>
      </c>
      <c r="BV15" t="e">
        <f>AND(#REF!,"AAAAAH9k+0k=")</f>
        <v>#REF!</v>
      </c>
      <c r="BW15" t="e">
        <f>AND(#REF!,"AAAAAH9k+0o=")</f>
        <v>#REF!</v>
      </c>
      <c r="BX15" t="e">
        <f>AND(#REF!,"AAAAAH9k+0s=")</f>
        <v>#REF!</v>
      </c>
      <c r="BY15" t="e">
        <f>AND(#REF!,"AAAAAH9k+0w=")</f>
        <v>#REF!</v>
      </c>
      <c r="BZ15" t="e">
        <f>AND(#REF!,"AAAAAH9k+00=")</f>
        <v>#REF!</v>
      </c>
      <c r="CA15" t="e">
        <f>AND(#REF!,"AAAAAH9k+04=")</f>
        <v>#REF!</v>
      </c>
      <c r="CB15" t="e">
        <f>AND(#REF!,"AAAAAH9k+08=")</f>
        <v>#REF!</v>
      </c>
      <c r="CC15" t="e">
        <f>AND(#REF!,"AAAAAH9k+1A=")</f>
        <v>#REF!</v>
      </c>
      <c r="CD15" t="e">
        <f>AND(#REF!,"AAAAAH9k+1E=")</f>
        <v>#REF!</v>
      </c>
      <c r="CE15" t="e">
        <f>IF(#REF!,"AAAAAH9k+1I=",0)</f>
        <v>#REF!</v>
      </c>
      <c r="CF15" t="e">
        <f>AND(#REF!,"AAAAAH9k+1M=")</f>
        <v>#REF!</v>
      </c>
      <c r="CG15" t="e">
        <f>AND(#REF!,"AAAAAH9k+1Q=")</f>
        <v>#REF!</v>
      </c>
      <c r="CH15" t="e">
        <f>AND(#REF!,"AAAAAH9k+1U=")</f>
        <v>#REF!</v>
      </c>
      <c r="CI15" t="e">
        <f>AND(#REF!,"AAAAAH9k+1Y=")</f>
        <v>#REF!</v>
      </c>
      <c r="CJ15" t="e">
        <f>AND(#REF!,"AAAAAH9k+1c=")</f>
        <v>#REF!</v>
      </c>
      <c r="CK15" t="e">
        <f>AND(#REF!,"AAAAAH9k+1g=")</f>
        <v>#REF!</v>
      </c>
      <c r="CL15" t="e">
        <f>AND(#REF!,"AAAAAH9k+1k=")</f>
        <v>#REF!</v>
      </c>
      <c r="CM15" t="e">
        <f>AND(#REF!,"AAAAAH9k+1o=")</f>
        <v>#REF!</v>
      </c>
      <c r="CN15" t="e">
        <f>AND(#REF!,"AAAAAH9k+1s=")</f>
        <v>#REF!</v>
      </c>
      <c r="CO15" t="e">
        <f>AND(#REF!,"AAAAAH9k+1w=")</f>
        <v>#REF!</v>
      </c>
      <c r="CP15" t="e">
        <f>AND(#REF!,"AAAAAH9k+10=")</f>
        <v>#REF!</v>
      </c>
      <c r="CQ15" t="e">
        <f>AND(#REF!,"AAAAAH9k+14=")</f>
        <v>#REF!</v>
      </c>
      <c r="CR15" t="e">
        <f>IF(#REF!,"AAAAAH9k+18=",0)</f>
        <v>#REF!</v>
      </c>
      <c r="CS15" t="e">
        <f>AND(#REF!,"AAAAAH9k+2A=")</f>
        <v>#REF!</v>
      </c>
      <c r="CT15" t="e">
        <f>AND(#REF!,"AAAAAH9k+2E=")</f>
        <v>#REF!</v>
      </c>
      <c r="CU15" t="e">
        <f>AND(#REF!,"AAAAAH9k+2I=")</f>
        <v>#REF!</v>
      </c>
      <c r="CV15" t="e">
        <f>AND(#REF!,"AAAAAH9k+2M=")</f>
        <v>#REF!</v>
      </c>
      <c r="CW15" t="e">
        <f>AND(#REF!,"AAAAAH9k+2Q=")</f>
        <v>#REF!</v>
      </c>
      <c r="CX15" t="e">
        <f>AND(#REF!,"AAAAAH9k+2U=")</f>
        <v>#REF!</v>
      </c>
      <c r="CY15" t="e">
        <f>AND(#REF!,"AAAAAH9k+2Y=")</f>
        <v>#REF!</v>
      </c>
      <c r="CZ15" t="e">
        <f>AND(#REF!,"AAAAAH9k+2c=")</f>
        <v>#REF!</v>
      </c>
      <c r="DA15" t="e">
        <f>AND(#REF!,"AAAAAH9k+2g=")</f>
        <v>#REF!</v>
      </c>
      <c r="DB15" t="e">
        <f>AND(#REF!,"AAAAAH9k+2k=")</f>
        <v>#REF!</v>
      </c>
      <c r="DC15" t="e">
        <f>AND(#REF!,"AAAAAH9k+2o=")</f>
        <v>#REF!</v>
      </c>
      <c r="DD15" t="e">
        <f>AND(#REF!,"AAAAAH9k+2s=")</f>
        <v>#REF!</v>
      </c>
      <c r="DE15" t="e">
        <f>IF(#REF!,"AAAAAH9k+2w=",0)</f>
        <v>#REF!</v>
      </c>
      <c r="DF15" t="e">
        <f>AND(#REF!,"AAAAAH9k+20=")</f>
        <v>#REF!</v>
      </c>
      <c r="DG15" t="e">
        <f>AND(#REF!,"AAAAAH9k+24=")</f>
        <v>#REF!</v>
      </c>
      <c r="DH15" t="e">
        <f>AND(#REF!,"AAAAAH9k+28=")</f>
        <v>#REF!</v>
      </c>
      <c r="DI15" t="e">
        <f>AND(#REF!,"AAAAAH9k+3A=")</f>
        <v>#REF!</v>
      </c>
      <c r="DJ15" t="e">
        <f>AND(#REF!,"AAAAAH9k+3E=")</f>
        <v>#REF!</v>
      </c>
      <c r="DK15" t="e">
        <f>AND(#REF!,"AAAAAH9k+3I=")</f>
        <v>#REF!</v>
      </c>
      <c r="DL15" t="e">
        <f>AND(#REF!,"AAAAAH9k+3M=")</f>
        <v>#REF!</v>
      </c>
      <c r="DM15" t="e">
        <f>AND(#REF!,"AAAAAH9k+3Q=")</f>
        <v>#REF!</v>
      </c>
      <c r="DN15" t="e">
        <f>AND(#REF!,"AAAAAH9k+3U=")</f>
        <v>#REF!</v>
      </c>
      <c r="DO15" t="e">
        <f>AND(#REF!,"AAAAAH9k+3Y=")</f>
        <v>#REF!</v>
      </c>
      <c r="DP15" t="e">
        <f>AND(#REF!,"AAAAAH9k+3c=")</f>
        <v>#REF!</v>
      </c>
      <c r="DQ15" t="e">
        <f>AND(#REF!,"AAAAAH9k+3g=")</f>
        <v>#REF!</v>
      </c>
      <c r="DR15" t="e">
        <f>IF(#REF!,"AAAAAH9k+3k=",0)</f>
        <v>#REF!</v>
      </c>
      <c r="DS15" t="e">
        <f>AND(#REF!,"AAAAAH9k+3o=")</f>
        <v>#REF!</v>
      </c>
      <c r="DT15" t="e">
        <f>AND(#REF!,"AAAAAH9k+3s=")</f>
        <v>#REF!</v>
      </c>
      <c r="DU15" t="e">
        <f>AND(#REF!,"AAAAAH9k+3w=")</f>
        <v>#REF!</v>
      </c>
      <c r="DV15" t="e">
        <f>AND(#REF!,"AAAAAH9k+30=")</f>
        <v>#REF!</v>
      </c>
      <c r="DW15" t="e">
        <f>AND(#REF!,"AAAAAH9k+34=")</f>
        <v>#REF!</v>
      </c>
      <c r="DX15" t="e">
        <f>AND(#REF!,"AAAAAH9k+38=")</f>
        <v>#REF!</v>
      </c>
      <c r="DY15" t="e">
        <f>AND(#REF!,"AAAAAH9k+4A=")</f>
        <v>#REF!</v>
      </c>
      <c r="DZ15" t="e">
        <f>AND(#REF!,"AAAAAH9k+4E=")</f>
        <v>#REF!</v>
      </c>
      <c r="EA15" t="e">
        <f>AND(#REF!,"AAAAAH9k+4I=")</f>
        <v>#REF!</v>
      </c>
      <c r="EB15" t="e">
        <f>AND(#REF!,"AAAAAH9k+4M=")</f>
        <v>#REF!</v>
      </c>
      <c r="EC15" t="e">
        <f>AND(#REF!,"AAAAAH9k+4Q=")</f>
        <v>#REF!</v>
      </c>
      <c r="ED15" t="e">
        <f>AND(#REF!,"AAAAAH9k+4U=")</f>
        <v>#REF!</v>
      </c>
      <c r="EE15" t="e">
        <f>IF(#REF!,"AAAAAH9k+4Y=",0)</f>
        <v>#REF!</v>
      </c>
      <c r="EF15" t="e">
        <f>AND(#REF!,"AAAAAH9k+4c=")</f>
        <v>#REF!</v>
      </c>
      <c r="EG15" t="e">
        <f>AND(#REF!,"AAAAAH9k+4g=")</f>
        <v>#REF!</v>
      </c>
      <c r="EH15" t="e">
        <f>AND(#REF!,"AAAAAH9k+4k=")</f>
        <v>#REF!</v>
      </c>
      <c r="EI15" t="e">
        <f>AND(#REF!,"AAAAAH9k+4o=")</f>
        <v>#REF!</v>
      </c>
      <c r="EJ15" t="e">
        <f>AND(#REF!,"AAAAAH9k+4s=")</f>
        <v>#REF!</v>
      </c>
      <c r="EK15" t="e">
        <f>AND(#REF!,"AAAAAH9k+4w=")</f>
        <v>#REF!</v>
      </c>
      <c r="EL15" t="e">
        <f>AND(#REF!,"AAAAAH9k+40=")</f>
        <v>#REF!</v>
      </c>
      <c r="EM15" t="e">
        <f>AND(#REF!,"AAAAAH9k+44=")</f>
        <v>#REF!</v>
      </c>
      <c r="EN15" t="e">
        <f>AND(#REF!,"AAAAAH9k+48=")</f>
        <v>#REF!</v>
      </c>
      <c r="EO15" t="e">
        <f>AND(#REF!,"AAAAAH9k+5A=")</f>
        <v>#REF!</v>
      </c>
      <c r="EP15" t="e">
        <f>AND(#REF!,"AAAAAH9k+5E=")</f>
        <v>#REF!</v>
      </c>
      <c r="EQ15" t="e">
        <f>AND(#REF!,"AAAAAH9k+5I=")</f>
        <v>#REF!</v>
      </c>
      <c r="ER15" t="e">
        <f>IF(#REF!,"AAAAAH9k+5M=",0)</f>
        <v>#REF!</v>
      </c>
      <c r="ES15" t="e">
        <f>AND(#REF!,"AAAAAH9k+5Q=")</f>
        <v>#REF!</v>
      </c>
      <c r="ET15" t="e">
        <f>AND(#REF!,"AAAAAH9k+5U=")</f>
        <v>#REF!</v>
      </c>
      <c r="EU15" t="e">
        <f>AND(#REF!,"AAAAAH9k+5Y=")</f>
        <v>#REF!</v>
      </c>
      <c r="EV15" t="e">
        <f>AND(#REF!,"AAAAAH9k+5c=")</f>
        <v>#REF!</v>
      </c>
      <c r="EW15" t="e">
        <f>AND(#REF!,"AAAAAH9k+5g=")</f>
        <v>#REF!</v>
      </c>
      <c r="EX15" t="e">
        <f>AND(#REF!,"AAAAAH9k+5k=")</f>
        <v>#REF!</v>
      </c>
      <c r="EY15" t="e">
        <f>AND(#REF!,"AAAAAH9k+5o=")</f>
        <v>#REF!</v>
      </c>
      <c r="EZ15" t="e">
        <f>AND(#REF!,"AAAAAH9k+5s=")</f>
        <v>#REF!</v>
      </c>
      <c r="FA15" t="e">
        <f>AND(#REF!,"AAAAAH9k+5w=")</f>
        <v>#REF!</v>
      </c>
      <c r="FB15" t="e">
        <f>AND(#REF!,"AAAAAH9k+50=")</f>
        <v>#REF!</v>
      </c>
      <c r="FC15" t="e">
        <f>AND(#REF!,"AAAAAH9k+54=")</f>
        <v>#REF!</v>
      </c>
      <c r="FD15" t="e">
        <f>AND(#REF!,"AAAAAH9k+58=")</f>
        <v>#REF!</v>
      </c>
      <c r="FE15" t="e">
        <f>IF(#REF!,"AAAAAH9k+6A=",0)</f>
        <v>#REF!</v>
      </c>
      <c r="FF15" t="e">
        <f>AND(#REF!,"AAAAAH9k+6E=")</f>
        <v>#REF!</v>
      </c>
      <c r="FG15" t="e">
        <f>AND(#REF!,"AAAAAH9k+6I=")</f>
        <v>#REF!</v>
      </c>
      <c r="FH15" t="e">
        <f>AND(#REF!,"AAAAAH9k+6M=")</f>
        <v>#REF!</v>
      </c>
      <c r="FI15" t="e">
        <f>AND(#REF!,"AAAAAH9k+6Q=")</f>
        <v>#REF!</v>
      </c>
      <c r="FJ15" t="e">
        <f>AND(#REF!,"AAAAAH9k+6U=")</f>
        <v>#REF!</v>
      </c>
      <c r="FK15" t="e">
        <f>AND(#REF!,"AAAAAH9k+6Y=")</f>
        <v>#REF!</v>
      </c>
      <c r="FL15" t="e">
        <f>AND(#REF!,"AAAAAH9k+6c=")</f>
        <v>#REF!</v>
      </c>
      <c r="FM15" t="e">
        <f>AND(#REF!,"AAAAAH9k+6g=")</f>
        <v>#REF!</v>
      </c>
      <c r="FN15" t="e">
        <f>AND(#REF!,"AAAAAH9k+6k=")</f>
        <v>#REF!</v>
      </c>
      <c r="FO15" t="e">
        <f>AND(#REF!,"AAAAAH9k+6o=")</f>
        <v>#REF!</v>
      </c>
      <c r="FP15" t="e">
        <f>AND(#REF!,"AAAAAH9k+6s=")</f>
        <v>#REF!</v>
      </c>
      <c r="FQ15" t="e">
        <f>AND(#REF!,"AAAAAH9k+6w=")</f>
        <v>#REF!</v>
      </c>
      <c r="FR15" t="e">
        <f>IF(#REF!,"AAAAAH9k+60=",0)</f>
        <v>#REF!</v>
      </c>
      <c r="FS15" t="e">
        <f>IF(#REF!,"AAAAAH9k+64=",0)</f>
        <v>#REF!</v>
      </c>
      <c r="FT15" t="e">
        <f>IF(#REF!,"AAAAAH9k+68=",0)</f>
        <v>#REF!</v>
      </c>
      <c r="FU15" t="e">
        <f>IF(#REF!,"AAAAAH9k+7A=",0)</f>
        <v>#REF!</v>
      </c>
      <c r="FV15" t="e">
        <f>IF(#REF!,"AAAAAH9k+7E=",0)</f>
        <v>#REF!</v>
      </c>
      <c r="FW15" t="e">
        <f>IF(#REF!,"AAAAAH9k+7I=",0)</f>
        <v>#REF!</v>
      </c>
      <c r="FX15" t="e">
        <f>IF(#REF!,"AAAAAH9k+7M=",0)</f>
        <v>#REF!</v>
      </c>
      <c r="FY15" t="e">
        <f>IF(#REF!,"AAAAAH9k+7Q=",0)</f>
        <v>#REF!</v>
      </c>
      <c r="FZ15" t="e">
        <f>IF(#REF!,"AAAAAH9k+7U=",0)</f>
        <v>#REF!</v>
      </c>
      <c r="GA15" t="e">
        <f>IF(#REF!,"AAAAAH9k+7Y=",0)</f>
        <v>#REF!</v>
      </c>
      <c r="GB15" t="e">
        <f>IF(#REF!,"AAAAAH9k+7c=",0)</f>
        <v>#REF!</v>
      </c>
      <c r="GC15" t="e">
        <f>IF(#REF!,"AAAAAH9k+7g=",0)</f>
        <v>#REF!</v>
      </c>
      <c r="GD15" t="e">
        <f>IF("N",'VEL-LECT'!PRINT_AREA,"AAAAAH9k+7k=")</f>
        <v>#VALUE!</v>
      </c>
    </row>
    <row r="16" ht="15">
      <c r="A16" t="e">
        <f>IF("N",'VEL-LECT'!PRINT_AREA,"AAAAAHd7+gA=")</f>
        <v>#VALUE!</v>
      </c>
    </row>
    <row r="17" ht="15">
      <c r="A17" t="e">
        <f>IF("N",'VEL-LECT'!PRINT_AREA,"AAAAAH//lwA=")</f>
        <v>#VALUE!</v>
      </c>
    </row>
    <row r="18" ht="15">
      <c r="A18" t="e">
        <f>IF("N",'VEL-LECT'!PRINT_AREA,"AAAAAHc93wA=")</f>
        <v>#VALUE!</v>
      </c>
    </row>
  </sheetData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WindowsWolf.com.ar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Mora de la Fuente</dc:creator>
  <cp:keywords/>
  <dc:description/>
  <cp:lastModifiedBy>EVLUACION</cp:lastModifiedBy>
  <cp:lastPrinted>2017-08-23T20:21:37Z</cp:lastPrinted>
  <dcterms:created xsi:type="dcterms:W3CDTF">2011-10-17T18:46:01Z</dcterms:created>
  <dcterms:modified xsi:type="dcterms:W3CDTF">2018-06-05T22:44:00Z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false</vt:lpwstr>
  </property>
  <property fmtid="{D5CDD505-2E9C-101B-9397-08002B2CF9AE}" pid="3" name="Google.Documents.DocumentId">
    <vt:lpwstr>1wWWLzmhAeEis6iPrNlMBu9MK8KmolbzlvKgQRv_AUjA</vt:lpwstr>
  </property>
  <property fmtid="{D5CDD505-2E9C-101B-9397-08002B2CF9AE}" pid="4" name="Google.Documents.RevisionId">
    <vt:lpwstr>06764661449265721770</vt:lpwstr>
  </property>
  <property fmtid="{D5CDD505-2E9C-101B-9397-08002B2CF9AE}" pid="5" name="Google.Documents.PreviousRevisionId">
    <vt:lpwstr>13857120812879720666</vt:lpwstr>
  </property>
  <property fmtid="{D5CDD505-2E9C-101B-9397-08002B2CF9AE}" pid="6" name="Google.Documents.PluginVersion">
    <vt:lpwstr>2.0.2424.7283</vt:lpwstr>
  </property>
  <property fmtid="{D5CDD505-2E9C-101B-9397-08002B2CF9AE}" pid="7" name="Google.Documents.MergeIncapabilityFlags">
    <vt:i4>0</vt:i4>
  </property>
</Properties>
</file>